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74B" lockStructure="1"/>
  <bookViews>
    <workbookView xWindow="360" yWindow="75" windowWidth="11355" windowHeight="7875" activeTab="1"/>
  </bookViews>
  <sheets>
    <sheet name="Instructions" sheetId="5" r:id="rId1"/>
    <sheet name="CT Worksheet" sheetId="1" r:id="rId2"/>
    <sheet name="Calculations" sheetId="2" state="hidden" r:id="rId3"/>
    <sheet name="CT Tables" sheetId="3" state="hidden" r:id="rId4"/>
  </sheets>
  <definedNames>
    <definedName name="Categories">'CT Tables'!$A$25:$D$31</definedName>
    <definedName name="ChloramineTableG">'CT Tables'!$A$124:$I$131</definedName>
    <definedName name="ChloramineTableV">'CT Tables'!$A$136:$F$143</definedName>
    <definedName name="CL2Category">'CT Tables'!$A$5:$B$18</definedName>
    <definedName name="ClOcTable">'CT Tables'!$A$68:$J$80</definedName>
    <definedName name="ClOgTable">'CT Tables'!$A$48:$I$55</definedName>
    <definedName name="ClOvTable">'CT Tables'!$A$58:$F$65</definedName>
    <definedName name="CTca1">Calculations!$Q$4</definedName>
    <definedName name="CTca2">Calculations!$Q$6</definedName>
    <definedName name="CTca3">Calculations!$Q$8</definedName>
    <definedName name="CTca4">Calculations!$Q$10</definedName>
    <definedName name="CTca5">Calculations!$Q$12</definedName>
    <definedName name="CTga1">Calculations!$I$4</definedName>
    <definedName name="CTga2">Calculations!$I$6</definedName>
    <definedName name="CTga3">Calculations!$I$8</definedName>
    <definedName name="CTga4">Calculations!$I$10</definedName>
    <definedName name="CTga5">Calculations!$I$12</definedName>
    <definedName name="CTma1">Calculations!$V$4</definedName>
    <definedName name="CTma2">Calculations!$V$6</definedName>
    <definedName name="CTma3">Calculations!$V$8</definedName>
    <definedName name="CTma4">Calculations!$V$10</definedName>
    <definedName name="CTma5">Calculations!$V$12</definedName>
    <definedName name="CTtable">'CT Tables'!$A$4:$IU$22</definedName>
    <definedName name="CTva1">Calculations!$L$4</definedName>
    <definedName name="CTva2">Calculations!$L$6</definedName>
    <definedName name="CTva3">Calculations!$L$8</definedName>
    <definedName name="CTva4">Calculations!$L$10</definedName>
    <definedName name="CTva5">Calculations!$L$12</definedName>
    <definedName name="DR_1">'CT Worksheet'!$C$12</definedName>
    <definedName name="DR_2">'CT Worksheet'!$C$17</definedName>
    <definedName name="DR_3">'CT Worksheet'!$C$22</definedName>
    <definedName name="DR_4">'CT Worksheet'!$C$27</definedName>
    <definedName name="DR_5">'CT Worksheet'!$C$33</definedName>
    <definedName name="HSflow">'CT Worksheet'!$C$6</definedName>
    <definedName name="logCryptoR">'CT Worksheet'!$S$5</definedName>
    <definedName name="logGiardiaR">'CT Worksheet'!$S$3</definedName>
    <definedName name="logIfraction">Calculations!$C$20</definedName>
    <definedName name="logVirusR">'CT Worksheet'!$S$4</definedName>
    <definedName name="MicrocystinR">'CT Worksheet'!$S$6</definedName>
    <definedName name="MicrocystinTable">'CT Tables'!$A$160:$R$165</definedName>
    <definedName name="O3cTable">'CT Tables'!$A$106:$J$118</definedName>
    <definedName name="O3gTable">'CT Tables'!$A$86:$I$93</definedName>
    <definedName name="O3vTable">'CT Tables'!$A$96:$F$103</definedName>
    <definedName name="ph_1">'CT Worksheet'!$C$13</definedName>
    <definedName name="pH_2">'CT Worksheet'!$C$18</definedName>
    <definedName name="pH_3">'CT Worksheet'!$C$23</definedName>
    <definedName name="pH_4">'CT Worksheet'!$C$28</definedName>
    <definedName name="pH_5">'CT Worksheet'!$C$34</definedName>
    <definedName name="pH1fraction">Calculations!$C$22</definedName>
    <definedName name="pH2fraction">Calculations!$C$40</definedName>
    <definedName name="pH3fraction">Calculations!$C$58</definedName>
    <definedName name="pH4fraction">Calculations!$C$76</definedName>
    <definedName name="pH5fraction">Calculations!$C$94</definedName>
    <definedName name="plantflow">'CT Worksheet'!$C$5</definedName>
    <definedName name="_xlnm.Print_Area" localSheetId="1">'CT Worksheet'!$B$1:$V$39</definedName>
    <definedName name="_xlnm.Print_Area" localSheetId="0">Instructions!$A$1:$J$59</definedName>
    <definedName name="Temp1">Calculations!$G$4</definedName>
    <definedName name="Temp1fraction">Calculations!$C$24</definedName>
    <definedName name="Temp2">Calculations!$G$6</definedName>
    <definedName name="Temp2fraction">Calculations!$C$42</definedName>
    <definedName name="Temp3">Calculations!$G$8</definedName>
    <definedName name="Temp3fraction">Calculations!$C$60</definedName>
    <definedName name="Temp4">Calculations!$G$10</definedName>
    <definedName name="Temp4fraction">Calculations!$C$78</definedName>
    <definedName name="Temp5">Calculations!$G$12</definedName>
    <definedName name="Temp5fraction">Calculations!$C$96</definedName>
    <definedName name="Time1">Calculations!$E$4</definedName>
    <definedName name="Time2">Calculations!$E$6</definedName>
    <definedName name="Time3">Calculations!$E$8</definedName>
    <definedName name="Time4">Calculations!$E$10</definedName>
    <definedName name="Time5">Calculations!$E$12</definedName>
    <definedName name="UVtable">'CT Tables'!$A$148:$K$152</definedName>
    <definedName name="VirusCTtable">'CT Tables'!$A$35:$I$42</definedName>
  </definedNames>
  <calcPr calcId="145621"/>
</workbook>
</file>

<file path=xl/calcChain.xml><?xml version="1.0" encoding="utf-8"?>
<calcChain xmlns="http://schemas.openxmlformats.org/spreadsheetml/2006/main">
  <c r="I32" i="1" l="1"/>
  <c r="I27" i="1"/>
  <c r="I22" i="1"/>
  <c r="I17" i="1"/>
  <c r="I11" i="1"/>
  <c r="D18" i="1"/>
  <c r="D23" i="1"/>
  <c r="D28" i="1"/>
  <c r="D34" i="1"/>
  <c r="D13" i="1"/>
  <c r="CV22" i="2"/>
  <c r="CV23" i="2" s="1"/>
  <c r="AR24" i="2"/>
  <c r="AS24" i="2" s="1"/>
  <c r="AR42" i="2"/>
  <c r="AS42" i="2"/>
  <c r="CV40" i="2"/>
  <c r="CW40" i="2"/>
  <c r="CV58" i="2"/>
  <c r="CW58" i="2"/>
  <c r="AR60" i="2"/>
  <c r="AS60" i="2"/>
  <c r="AR78" i="2"/>
  <c r="AS78" i="2"/>
  <c r="CV76" i="2"/>
  <c r="CW76" i="2"/>
  <c r="CV77" i="2"/>
  <c r="DA80" i="2"/>
  <c r="CV94" i="2"/>
  <c r="CW94" i="2"/>
  <c r="AR96" i="2"/>
  <c r="AX99" i="2"/>
  <c r="B94" i="2"/>
  <c r="B95" i="2"/>
  <c r="B76" i="2"/>
  <c r="C76" i="2"/>
  <c r="B58" i="2"/>
  <c r="C58" i="2"/>
  <c r="B40" i="2"/>
  <c r="B41" i="2"/>
  <c r="B22" i="2"/>
  <c r="C22" i="2" s="1"/>
  <c r="B100" i="2"/>
  <c r="B98" i="2"/>
  <c r="B101" i="2"/>
  <c r="C101" i="2"/>
  <c r="B82" i="2"/>
  <c r="B83" i="2"/>
  <c r="C83" i="2"/>
  <c r="B64" i="2"/>
  <c r="B65" i="2"/>
  <c r="B46" i="2"/>
  <c r="B47" i="2"/>
  <c r="B28" i="2"/>
  <c r="Q93" i="2"/>
  <c r="AN93" i="2" s="1"/>
  <c r="Q75" i="2"/>
  <c r="Q57" i="2"/>
  <c r="AN57" i="2" s="1"/>
  <c r="Q39" i="2"/>
  <c r="AN39" i="2" s="1"/>
  <c r="Q21" i="2"/>
  <c r="AN21" i="2"/>
  <c r="B92" i="2"/>
  <c r="B93" i="2" s="1"/>
  <c r="B74" i="2"/>
  <c r="B75" i="2" s="1"/>
  <c r="B56" i="2"/>
  <c r="K57" i="2" s="1"/>
  <c r="B38" i="2"/>
  <c r="B39" i="2"/>
  <c r="B20" i="2"/>
  <c r="K21" i="2" s="1"/>
  <c r="B30" i="1"/>
  <c r="B25" i="1"/>
  <c r="A10" i="2"/>
  <c r="B20" i="1"/>
  <c r="A8" i="2"/>
  <c r="B15" i="1"/>
  <c r="F38" i="2"/>
  <c r="BZ39" i="2"/>
  <c r="B9" i="1"/>
  <c r="CZ92" i="2"/>
  <c r="B39" i="1"/>
  <c r="DJ95" i="2"/>
  <c r="DF98" i="2"/>
  <c r="CV92" i="2"/>
  <c r="DH95" i="2"/>
  <c r="DJ77" i="2"/>
  <c r="CZ74" i="2"/>
  <c r="CV59" i="2"/>
  <c r="DA62" i="2"/>
  <c r="DF80" i="2"/>
  <c r="CV74" i="2"/>
  <c r="CV75" i="2"/>
  <c r="DH77" i="2"/>
  <c r="DJ59" i="2"/>
  <c r="DF62" i="2"/>
  <c r="CZ56" i="2"/>
  <c r="CV20" i="2"/>
  <c r="CV38" i="2"/>
  <c r="CW50" i="2"/>
  <c r="DD41" i="2"/>
  <c r="CV56" i="2"/>
  <c r="CW68" i="2"/>
  <c r="DD59" i="2"/>
  <c r="DH59" i="2"/>
  <c r="DH41" i="2"/>
  <c r="DH23" i="2"/>
  <c r="R165" i="3"/>
  <c r="R164" i="3"/>
  <c r="R163" i="3"/>
  <c r="R162" i="3"/>
  <c r="O165" i="3"/>
  <c r="N165" i="3"/>
  <c r="O164" i="3"/>
  <c r="N164" i="3"/>
  <c r="O163" i="3"/>
  <c r="N163" i="3"/>
  <c r="O162" i="3"/>
  <c r="N162" i="3"/>
  <c r="K165" i="3"/>
  <c r="J165" i="3"/>
  <c r="K164" i="3"/>
  <c r="J164" i="3"/>
  <c r="K163" i="3"/>
  <c r="J163" i="3"/>
  <c r="K162" i="3"/>
  <c r="J162" i="3"/>
  <c r="G162" i="3"/>
  <c r="G165" i="3"/>
  <c r="G164" i="3"/>
  <c r="G163" i="3"/>
  <c r="F165" i="3"/>
  <c r="F164" i="3"/>
  <c r="F163" i="3"/>
  <c r="F162" i="3"/>
  <c r="C165" i="3"/>
  <c r="C164" i="3"/>
  <c r="C163" i="3"/>
  <c r="C162" i="3"/>
  <c r="DF44" i="2"/>
  <c r="DJ23" i="2"/>
  <c r="DJ41" i="2"/>
  <c r="CZ20" i="2"/>
  <c r="CZ38" i="2"/>
  <c r="DF26" i="2"/>
  <c r="J34" i="1"/>
  <c r="J28" i="1"/>
  <c r="J13" i="1"/>
  <c r="J18" i="1"/>
  <c r="J23" i="1"/>
  <c r="T31" i="1"/>
  <c r="D12" i="2"/>
  <c r="AR94" i="2"/>
  <c r="AR95" i="2" s="1"/>
  <c r="D10" i="2"/>
  <c r="AR76" i="2"/>
  <c r="D8" i="2"/>
  <c r="AR58" i="2"/>
  <c r="AR59" i="2"/>
  <c r="D6" i="2"/>
  <c r="BI42" i="2"/>
  <c r="BI43" i="2" s="1"/>
  <c r="D4" i="2"/>
  <c r="AR22" i="2"/>
  <c r="CI24" i="2"/>
  <c r="BI24" i="2"/>
  <c r="BI25" i="2" s="1"/>
  <c r="G4" i="2"/>
  <c r="B24" i="2" s="1"/>
  <c r="CI22" i="2"/>
  <c r="CI23" i="2"/>
  <c r="BI22" i="2"/>
  <c r="G12" i="2"/>
  <c r="BI106" i="2"/>
  <c r="BJ106" i="2"/>
  <c r="B77" i="2"/>
  <c r="G10" i="2"/>
  <c r="BV88" i="2"/>
  <c r="G8" i="2"/>
  <c r="BI63" i="2"/>
  <c r="BL67" i="2"/>
  <c r="BI40" i="2"/>
  <c r="BI41" i="2"/>
  <c r="G6" i="2"/>
  <c r="BI45" i="2"/>
  <c r="BI48" i="2"/>
  <c r="BI49" i="2"/>
  <c r="BM52" i="2"/>
  <c r="BI30" i="2"/>
  <c r="BN34" i="2"/>
  <c r="BV84" i="2"/>
  <c r="BV85" i="2"/>
  <c r="BV30" i="2"/>
  <c r="BV31" i="2"/>
  <c r="B38" i="1"/>
  <c r="BV48" i="2"/>
  <c r="BV49" i="2"/>
  <c r="BI66" i="2"/>
  <c r="BI67" i="2"/>
  <c r="BM70" i="2"/>
  <c r="BV66" i="2"/>
  <c r="BV67" i="2"/>
  <c r="BZ70" i="2"/>
  <c r="BI84" i="2"/>
  <c r="BI85" i="2"/>
  <c r="BV102" i="2"/>
  <c r="CA106" i="2"/>
  <c r="BI102" i="2"/>
  <c r="BI103" i="2"/>
  <c r="BV94" i="2"/>
  <c r="CA96" i="2" s="1"/>
  <c r="CI94" i="2"/>
  <c r="CI95" i="2" s="1"/>
  <c r="BI94" i="2"/>
  <c r="BI95" i="2" s="1"/>
  <c r="BV96" i="2"/>
  <c r="CA101" i="2"/>
  <c r="CI96" i="2"/>
  <c r="CN103" i="2"/>
  <c r="BI96" i="2"/>
  <c r="BN101" i="2"/>
  <c r="BI97" i="2"/>
  <c r="BM101" i="2"/>
  <c r="BV22" i="2"/>
  <c r="CA24" i="2"/>
  <c r="BV24" i="2"/>
  <c r="BV25" i="2"/>
  <c r="BZ29" i="2" s="1"/>
  <c r="BV40" i="2"/>
  <c r="BV41" i="2" s="1"/>
  <c r="CI40" i="2"/>
  <c r="CN42" i="2" s="1"/>
  <c r="BV58" i="2"/>
  <c r="BV59" i="2" s="1"/>
  <c r="CI58" i="2"/>
  <c r="CI59" i="2" s="1"/>
  <c r="BI58" i="2"/>
  <c r="BN60" i="2" s="1"/>
  <c r="BV76" i="2"/>
  <c r="BV77" i="2" s="1"/>
  <c r="CI76" i="2"/>
  <c r="CN78" i="2" s="1"/>
  <c r="BI76" i="2"/>
  <c r="BN78" i="2" s="1"/>
  <c r="BV42" i="2"/>
  <c r="CA47" i="2" s="1"/>
  <c r="AR40" i="2"/>
  <c r="AR41" i="2" s="1"/>
  <c r="CI42" i="2"/>
  <c r="CN49" i="2" s="1"/>
  <c r="BV60" i="2"/>
  <c r="CA65" i="2" s="1"/>
  <c r="CI60" i="2"/>
  <c r="CI61" i="2" s="1"/>
  <c r="BI60" i="2"/>
  <c r="BI61" i="2"/>
  <c r="BV78" i="2"/>
  <c r="BV79" i="2" s="1"/>
  <c r="BZ83" i="2" s="1"/>
  <c r="CI78" i="2"/>
  <c r="CN85" i="2" s="1"/>
  <c r="BI78" i="2"/>
  <c r="BI79" i="2" s="1"/>
  <c r="CE106" i="2"/>
  <c r="CC106" i="2"/>
  <c r="CE88" i="2"/>
  <c r="CC88" i="2"/>
  <c r="CE70" i="2"/>
  <c r="CC70" i="2"/>
  <c r="CE101" i="2"/>
  <c r="CE96" i="2"/>
  <c r="CE83" i="2"/>
  <c r="CE78" i="2"/>
  <c r="CE65" i="2"/>
  <c r="CE60" i="2"/>
  <c r="CC101" i="2"/>
  <c r="CC83" i="2"/>
  <c r="CC65" i="2"/>
  <c r="CC47" i="2"/>
  <c r="CE52" i="2"/>
  <c r="CE47" i="2"/>
  <c r="CE42" i="2"/>
  <c r="CC52" i="2"/>
  <c r="BR106" i="2"/>
  <c r="BP106" i="2"/>
  <c r="BR101" i="2"/>
  <c r="BR96" i="2"/>
  <c r="BR88" i="2"/>
  <c r="BR83" i="2"/>
  <c r="BP88" i="2"/>
  <c r="BR70" i="2"/>
  <c r="BP70" i="2"/>
  <c r="BR78" i="2"/>
  <c r="BR65" i="2"/>
  <c r="BR60" i="2"/>
  <c r="BR52" i="2"/>
  <c r="BR47" i="2"/>
  <c r="BR42" i="2"/>
  <c r="BP52" i="2"/>
  <c r="CE34" i="2"/>
  <c r="CC34" i="2"/>
  <c r="BP101" i="2"/>
  <c r="BP83" i="2"/>
  <c r="BP65" i="2"/>
  <c r="BP47" i="2"/>
  <c r="BP29" i="2"/>
  <c r="BR34" i="2"/>
  <c r="BP34" i="2"/>
  <c r="F11" i="1"/>
  <c r="F27" i="1"/>
  <c r="F22" i="1"/>
  <c r="F17" i="1"/>
  <c r="F32" i="1"/>
  <c r="F56" i="2"/>
  <c r="J56" i="2"/>
  <c r="CR67" i="2"/>
  <c r="CR60" i="2"/>
  <c r="CR103" i="2"/>
  <c r="CR85" i="2"/>
  <c r="CR96" i="2"/>
  <c r="CR78" i="2"/>
  <c r="CP103" i="2"/>
  <c r="CO99" i="2"/>
  <c r="CB99" i="2"/>
  <c r="BO99" i="2"/>
  <c r="CP96" i="2"/>
  <c r="CC96" i="2"/>
  <c r="BP96" i="2"/>
  <c r="F92" i="2"/>
  <c r="CP85" i="2"/>
  <c r="CO81" i="2"/>
  <c r="CB81" i="2"/>
  <c r="BO81" i="2"/>
  <c r="CP78" i="2"/>
  <c r="CC78" i="2"/>
  <c r="BP78" i="2"/>
  <c r="CP67" i="2"/>
  <c r="CO63" i="2"/>
  <c r="CB63" i="2"/>
  <c r="BO63" i="2"/>
  <c r="CP60" i="2"/>
  <c r="CC60" i="2"/>
  <c r="BP60" i="2"/>
  <c r="CR42" i="2"/>
  <c r="CR49" i="2"/>
  <c r="BR29" i="2"/>
  <c r="CP49" i="2"/>
  <c r="CO45" i="2"/>
  <c r="CB45" i="2"/>
  <c r="BO45" i="2"/>
  <c r="CP42" i="2"/>
  <c r="CC42" i="2"/>
  <c r="BP42" i="2"/>
  <c r="CR31" i="2"/>
  <c r="CR24" i="2"/>
  <c r="CE29" i="2"/>
  <c r="CE24" i="2"/>
  <c r="F20" i="2"/>
  <c r="BZ21" i="2"/>
  <c r="CP31" i="2"/>
  <c r="CO27" i="2"/>
  <c r="CP24" i="2"/>
  <c r="CC29" i="2"/>
  <c r="CB27" i="2"/>
  <c r="CC24" i="2"/>
  <c r="BR24" i="2"/>
  <c r="BP24" i="2"/>
  <c r="BO27" i="2"/>
  <c r="BE96" i="2"/>
  <c r="BC96" i="2"/>
  <c r="BA99" i="2"/>
  <c r="BE78" i="2"/>
  <c r="BC78" i="2"/>
  <c r="BA81" i="2"/>
  <c r="BC60" i="2"/>
  <c r="BE60" i="2"/>
  <c r="BA63" i="2"/>
  <c r="BE42" i="2"/>
  <c r="BC42" i="2"/>
  <c r="BA45" i="2"/>
  <c r="BE24" i="2"/>
  <c r="BA27" i="2"/>
  <c r="BC24" i="2"/>
  <c r="AL108" i="2"/>
  <c r="AG91" i="2"/>
  <c r="AL90" i="2"/>
  <c r="AN75" i="2"/>
  <c r="AG73" i="2"/>
  <c r="AL72" i="2"/>
  <c r="AG55" i="2"/>
  <c r="AL54" i="2"/>
  <c r="T93" i="2"/>
  <c r="S93" i="2"/>
  <c r="T75" i="2"/>
  <c r="S75" i="2"/>
  <c r="T57" i="2"/>
  <c r="S57" i="2"/>
  <c r="T39" i="2"/>
  <c r="S39" i="2"/>
  <c r="AG37" i="2"/>
  <c r="AL36" i="2"/>
  <c r="AG19" i="2"/>
  <c r="J20" i="2"/>
  <c r="T21" i="2"/>
  <c r="S21" i="2"/>
  <c r="A12" i="2"/>
  <c r="A4" i="2"/>
  <c r="B78" i="2"/>
  <c r="D87" i="2"/>
  <c r="AC77" i="2" s="1"/>
  <c r="BM21" i="2"/>
  <c r="AV21" i="2"/>
  <c r="CM21" i="2"/>
  <c r="AX63" i="2"/>
  <c r="AR43" i="2"/>
  <c r="BI52" i="2"/>
  <c r="BJ52" i="2"/>
  <c r="CM93" i="2"/>
  <c r="J92" i="2"/>
  <c r="BZ93" i="2"/>
  <c r="AV93" i="2"/>
  <c r="BM93" i="2"/>
  <c r="AR97" i="2"/>
  <c r="AV99" i="2"/>
  <c r="CN96" i="2"/>
  <c r="BV97" i="2"/>
  <c r="BZ101" i="2" s="1"/>
  <c r="DC80" i="2"/>
  <c r="DC62" i="2"/>
  <c r="CV95" i="2"/>
  <c r="DA98" i="2"/>
  <c r="BI88" i="2"/>
  <c r="BJ88" i="2"/>
  <c r="CV78" i="2"/>
  <c r="CZ79" i="2"/>
  <c r="BV81" i="2"/>
  <c r="BY85" i="2"/>
  <c r="A6" i="2"/>
  <c r="BN70" i="2"/>
  <c r="CA83" i="2"/>
  <c r="BN83" i="2"/>
  <c r="BW88" i="2"/>
  <c r="BI89" i="2"/>
  <c r="C40" i="2"/>
  <c r="CI43" i="2"/>
  <c r="CM49" i="2" s="1"/>
  <c r="AR44" i="2"/>
  <c r="AU44" i="2"/>
  <c r="CI45" i="2"/>
  <c r="CI46" i="2"/>
  <c r="AS96" i="2"/>
  <c r="BV106" i="2"/>
  <c r="BV99" i="2"/>
  <c r="BY98" i="2"/>
  <c r="AR98" i="2"/>
  <c r="AR99" i="2"/>
  <c r="B96" i="2"/>
  <c r="B59" i="2"/>
  <c r="CV93" i="2"/>
  <c r="CX104" i="2"/>
  <c r="DC95" i="2"/>
  <c r="K39" i="2"/>
  <c r="M39" i="2" s="1"/>
  <c r="CI41" i="2"/>
  <c r="CJ40" i="2" s="1"/>
  <c r="CM42" i="2"/>
  <c r="CV39" i="2"/>
  <c r="CW67" i="2"/>
  <c r="DB59" i="2"/>
  <c r="DG59" i="2"/>
  <c r="BV23" i="2"/>
  <c r="BW22" i="2" s="1"/>
  <c r="CA42" i="2"/>
  <c r="BI77" i="2"/>
  <c r="BM78" i="2" s="1"/>
  <c r="BV95" i="2"/>
  <c r="BW94" i="2" s="1"/>
  <c r="BN42" i="2"/>
  <c r="CA52" i="2"/>
  <c r="BN106" i="2"/>
  <c r="CA88" i="2"/>
  <c r="DC44" i="2"/>
  <c r="AR61" i="2"/>
  <c r="K93" i="2"/>
  <c r="Y93" i="2" s="1"/>
  <c r="AH93" i="2" s="1"/>
  <c r="AM93" i="2" s="1"/>
  <c r="B57" i="2"/>
  <c r="C56" i="2" s="1"/>
  <c r="Q10" i="2"/>
  <c r="BV100" i="2"/>
  <c r="BY97" i="2"/>
  <c r="CW92" i="2"/>
  <c r="Q6" i="2"/>
  <c r="Q4" i="2"/>
  <c r="Q12" i="2"/>
  <c r="AV63" i="2"/>
  <c r="AS67" i="2"/>
  <c r="AY60" i="2" s="1"/>
  <c r="AC93" i="2"/>
  <c r="Q8" i="2"/>
  <c r="BZ57" i="2"/>
  <c r="AV39" i="2"/>
  <c r="J38" i="2"/>
  <c r="CM39" i="2"/>
  <c r="BM39" i="2"/>
  <c r="CW104" i="2"/>
  <c r="DD95" i="2"/>
  <c r="BN65" i="2"/>
  <c r="CX103" i="2"/>
  <c r="DA95" i="2"/>
  <c r="DF95" i="2"/>
  <c r="C100" i="2"/>
  <c r="BN96" i="2"/>
  <c r="CI79" i="2"/>
  <c r="CJ78" i="2" s="1"/>
  <c r="AR77" i="2"/>
  <c r="AT85" i="2" s="1"/>
  <c r="B79" i="2"/>
  <c r="C78" i="2"/>
  <c r="C64" i="2"/>
  <c r="CA70" i="2"/>
  <c r="BV61" i="2"/>
  <c r="BZ65" i="2"/>
  <c r="CI63" i="2"/>
  <c r="CI64" i="2"/>
  <c r="P39" i="2"/>
  <c r="BW52" i="2"/>
  <c r="AX27" i="2"/>
  <c r="B97" i="2"/>
  <c r="C96" i="2"/>
  <c r="AR79" i="2"/>
  <c r="AS84" i="2"/>
  <c r="AW78" i="2" s="1"/>
  <c r="BB78" i="2" s="1"/>
  <c r="CI81" i="2"/>
  <c r="AR62" i="2"/>
  <c r="AU62" i="2"/>
  <c r="CV60" i="2"/>
  <c r="CZ61" i="2"/>
  <c r="BV70" i="2"/>
  <c r="BI70" i="2"/>
  <c r="BI71" i="2"/>
  <c r="BI68" i="2"/>
  <c r="BV63" i="2"/>
  <c r="BY67" i="2"/>
  <c r="B60" i="2"/>
  <c r="D67" i="2"/>
  <c r="BL62" i="2"/>
  <c r="BJ70" i="2"/>
  <c r="AX45" i="2"/>
  <c r="BI34" i="2"/>
  <c r="BI35" i="2" s="1"/>
  <c r="BI32" i="2" s="1"/>
  <c r="BJ96" i="2"/>
  <c r="B21" i="2"/>
  <c r="C20" i="2" s="1"/>
  <c r="CN24" i="2"/>
  <c r="CA34" i="2"/>
  <c r="BI31" i="2"/>
  <c r="BM34" i="2"/>
  <c r="B23" i="2"/>
  <c r="CW22" i="2"/>
  <c r="DC26" i="2"/>
  <c r="BI27" i="2"/>
  <c r="BL31" i="2" s="1"/>
  <c r="CI27" i="2"/>
  <c r="CI28" i="2" s="1"/>
  <c r="AR26" i="2"/>
  <c r="AU26" i="2" s="1"/>
  <c r="BV34" i="2"/>
  <c r="CV24" i="2"/>
  <c r="CZ25" i="2" s="1"/>
  <c r="V6" i="2"/>
  <c r="BI23" i="2"/>
  <c r="BJ22" i="2" s="1"/>
  <c r="BN24" i="2"/>
  <c r="CN31" i="2"/>
  <c r="CI25" i="2"/>
  <c r="CM31" i="2"/>
  <c r="CV21" i="2"/>
  <c r="CW20" i="2"/>
  <c r="CW32" i="2"/>
  <c r="DD23" i="2" s="1"/>
  <c r="CW85" i="2"/>
  <c r="DB77" i="2"/>
  <c r="DG77" i="2"/>
  <c r="BW60" i="2"/>
  <c r="BY62" i="2"/>
  <c r="BW70" i="2"/>
  <c r="CL62" i="2"/>
  <c r="BV71" i="2"/>
  <c r="BV68" i="2"/>
  <c r="BV69" i="2"/>
  <c r="AS85" i="2"/>
  <c r="AY78" i="2" s="1"/>
  <c r="CI82" i="2"/>
  <c r="CJ81" i="2"/>
  <c r="CL87" i="2"/>
  <c r="CL80" i="2"/>
  <c r="D68" i="2"/>
  <c r="AA64" i="2" s="1"/>
  <c r="D70" i="2"/>
  <c r="AE71" i="2" s="1"/>
  <c r="B61" i="2"/>
  <c r="C60" i="2"/>
  <c r="BV64" i="2"/>
  <c r="BY66" i="2"/>
  <c r="CV61" i="2"/>
  <c r="CZ60" i="2"/>
  <c r="D69" i="2"/>
  <c r="O66" i="2" s="1"/>
  <c r="AI72" i="2" s="1"/>
  <c r="AR63" i="2"/>
  <c r="AU61" i="2"/>
  <c r="BW63" i="2"/>
  <c r="BJ34" i="2"/>
  <c r="BV35" i="2"/>
  <c r="V10" i="2"/>
  <c r="BJ30" i="2"/>
  <c r="J21" i="2"/>
  <c r="AB21" i="2" s="1"/>
  <c r="AI21" i="2" s="1"/>
  <c r="AR27" i="2"/>
  <c r="AS26" i="2" s="1"/>
  <c r="BI28" i="2"/>
  <c r="BL25" i="2" s="1"/>
  <c r="BL26" i="2"/>
  <c r="V8" i="2"/>
  <c r="CX32" i="2"/>
  <c r="DC23" i="2" s="1"/>
  <c r="BY72" i="2"/>
  <c r="AA59" i="2"/>
  <c r="AS62" i="2"/>
  <c r="CW60" i="2"/>
  <c r="V12" i="2"/>
  <c r="V4" i="2"/>
  <c r="F74" i="2"/>
  <c r="AV57" i="2"/>
  <c r="BM57" i="2"/>
  <c r="CM57" i="2"/>
  <c r="CX85" i="2"/>
  <c r="DA77" i="2"/>
  <c r="DF77" i="2"/>
  <c r="CW74" i="2"/>
  <c r="CX86" i="2"/>
  <c r="DC77" i="2"/>
  <c r="BW84" i="2"/>
  <c r="BZ88" i="2"/>
  <c r="BZ52" i="2"/>
  <c r="BW48" i="2"/>
  <c r="J57" i="2"/>
  <c r="AC69" i="2"/>
  <c r="AS49" i="2"/>
  <c r="AY42" i="2" s="1"/>
  <c r="BJ66" i="2"/>
  <c r="BN88" i="2"/>
  <c r="CI77" i="2"/>
  <c r="AS48" i="2"/>
  <c r="AW42" i="2" s="1"/>
  <c r="BB42" i="2" s="1"/>
  <c r="BN29" i="2"/>
  <c r="CV57" i="2"/>
  <c r="AS76" i="2"/>
  <c r="L21" i="2"/>
  <c r="D103" i="2"/>
  <c r="Y95" i="2" s="1"/>
  <c r="O97" i="2"/>
  <c r="AG108" i="2" s="1"/>
  <c r="AS102" i="2"/>
  <c r="AW96" i="2"/>
  <c r="BB96" i="2" s="1"/>
  <c r="CW103" i="2"/>
  <c r="DB95" i="2"/>
  <c r="DG95" i="2"/>
  <c r="D106" i="2"/>
  <c r="AE98" i="2" s="1"/>
  <c r="C94" i="2"/>
  <c r="DC98" i="2"/>
  <c r="AS103" i="2"/>
  <c r="AY96" i="2" s="1"/>
  <c r="C98" i="2"/>
  <c r="B99" i="2"/>
  <c r="I95" i="2"/>
  <c r="I100" i="2"/>
  <c r="I96" i="2"/>
  <c r="I101" i="2"/>
  <c r="BJ102" i="2"/>
  <c r="BM106" i="2"/>
  <c r="D105" i="2"/>
  <c r="AC95" i="2" s="1"/>
  <c r="BW96" i="2"/>
  <c r="BV103" i="2"/>
  <c r="CI97" i="2"/>
  <c r="Y96" i="2"/>
  <c r="BI107" i="2"/>
  <c r="BI104" i="2"/>
  <c r="AU98" i="2"/>
  <c r="BY103" i="2"/>
  <c r="CI99" i="2"/>
  <c r="BI99" i="2"/>
  <c r="BW99" i="2"/>
  <c r="Y94" i="2"/>
  <c r="Y105" i="2"/>
  <c r="Y100" i="2"/>
  <c r="Y104" i="2"/>
  <c r="BW106" i="2"/>
  <c r="BV107" i="2"/>
  <c r="BV104" i="2"/>
  <c r="Y97" i="2"/>
  <c r="AS98" i="2"/>
  <c r="AU97" i="2"/>
  <c r="D104" i="2"/>
  <c r="AA103" i="2" s="1"/>
  <c r="CV96" i="2"/>
  <c r="BY102" i="2"/>
  <c r="AV81" i="2"/>
  <c r="AX81" i="2"/>
  <c r="CW86" i="2"/>
  <c r="DD77" i="2"/>
  <c r="C82" i="2"/>
  <c r="C80" i="2"/>
  <c r="B80" i="2"/>
  <c r="BM88" i="2"/>
  <c r="BJ84" i="2"/>
  <c r="K75" i="2"/>
  <c r="AC75" i="2" s="1"/>
  <c r="D85" i="2"/>
  <c r="Y76" i="2" s="1"/>
  <c r="BI81" i="2"/>
  <c r="CV79" i="2"/>
  <c r="CW78" i="2"/>
  <c r="AR80" i="2"/>
  <c r="CL86" i="2"/>
  <c r="CL79" i="2"/>
  <c r="AC83" i="2"/>
  <c r="AC89" i="2"/>
  <c r="AC82" i="2"/>
  <c r="AC87" i="2"/>
  <c r="F87" i="2"/>
  <c r="J81" i="2" s="1"/>
  <c r="AB74" i="2" s="1"/>
  <c r="AC86" i="2"/>
  <c r="AC84" i="2"/>
  <c r="AC81" i="2"/>
  <c r="AC78" i="2"/>
  <c r="AC88" i="2"/>
  <c r="O84" i="2"/>
  <c r="AI90" i="2" s="1"/>
  <c r="AC85" i="2"/>
  <c r="AC76" i="2"/>
  <c r="AC80" i="2"/>
  <c r="E87" i="2"/>
  <c r="AB81" i="2" s="1"/>
  <c r="J84" i="2"/>
  <c r="AB90" i="2" s="1"/>
  <c r="Y87" i="2"/>
  <c r="D88" i="2"/>
  <c r="BI86" i="2"/>
  <c r="BY80" i="2"/>
  <c r="BV89" i="2"/>
  <c r="BV86" i="2"/>
  <c r="D86" i="2"/>
  <c r="AA87" i="2" s="1"/>
  <c r="AH87" i="2" s="1"/>
  <c r="BV82" i="2"/>
  <c r="AA63" i="2"/>
  <c r="AA67" i="2"/>
  <c r="AA58" i="2"/>
  <c r="AH58" i="2" s="1"/>
  <c r="AA66" i="2"/>
  <c r="B62" i="2"/>
  <c r="C65" i="2"/>
  <c r="C62" i="2"/>
  <c r="BM65" i="2"/>
  <c r="BJ60" i="2"/>
  <c r="AS58" i="2"/>
  <c r="AT66" i="2"/>
  <c r="AV60" i="2" s="1"/>
  <c r="BA60" i="2" s="1"/>
  <c r="AT67" i="2"/>
  <c r="AX60" i="2" s="1"/>
  <c r="AC65" i="2"/>
  <c r="AC62" i="2"/>
  <c r="AC71" i="2"/>
  <c r="AC63" i="2"/>
  <c r="AA62" i="2"/>
  <c r="AA71" i="2"/>
  <c r="AC64" i="2"/>
  <c r="E69" i="2"/>
  <c r="AB69" i="2" s="1"/>
  <c r="BW66" i="2"/>
  <c r="L57" i="2"/>
  <c r="O57" i="2"/>
  <c r="AS66" i="2"/>
  <c r="AW60" i="2" s="1"/>
  <c r="BB60" i="2" s="1"/>
  <c r="CN67" i="2"/>
  <c r="CN60" i="2"/>
  <c r="AC59" i="2"/>
  <c r="AC70" i="2"/>
  <c r="AA60" i="2"/>
  <c r="AA68" i="2"/>
  <c r="F68" i="2"/>
  <c r="L58" i="2"/>
  <c r="Z56" i="2" s="1"/>
  <c r="BI59" i="2"/>
  <c r="BM60" i="2" s="1"/>
  <c r="CA60" i="2"/>
  <c r="J66" i="2"/>
  <c r="AB72" i="2" s="1"/>
  <c r="AE68" i="2"/>
  <c r="BY61" i="2"/>
  <c r="AE67" i="2"/>
  <c r="BW71" i="2"/>
  <c r="BW68" i="2"/>
  <c r="BY71" i="2"/>
  <c r="Y71" i="2"/>
  <c r="Y69" i="2"/>
  <c r="Y63" i="2"/>
  <c r="AH63" i="2"/>
  <c r="AM63" i="2" s="1"/>
  <c r="Y62" i="2"/>
  <c r="AH62" i="2"/>
  <c r="Y58" i="2"/>
  <c r="E67" i="2"/>
  <c r="X59" i="2" s="1"/>
  <c r="O61" i="2"/>
  <c r="AG72" i="2"/>
  <c r="Y61" i="2"/>
  <c r="Y70" i="2"/>
  <c r="Y66" i="2"/>
  <c r="AH66" i="2" s="1"/>
  <c r="Y60" i="2"/>
  <c r="AH60" i="2"/>
  <c r="J61" i="2"/>
  <c r="X72" i="2" s="1"/>
  <c r="Y68" i="2"/>
  <c r="AH68" i="2"/>
  <c r="F67" i="2"/>
  <c r="J58" i="2" s="1"/>
  <c r="X56" i="2" s="1"/>
  <c r="Y59" i="2"/>
  <c r="AH59" i="2" s="1"/>
  <c r="Y65" i="2"/>
  <c r="Y64" i="2"/>
  <c r="AH64" i="2" s="1"/>
  <c r="Y67" i="2"/>
  <c r="AB68" i="2"/>
  <c r="AB67" i="2"/>
  <c r="AB58" i="2"/>
  <c r="CJ63" i="2"/>
  <c r="CL61" i="2"/>
  <c r="CL68" i="2"/>
  <c r="BI69" i="2"/>
  <c r="BL72" i="2"/>
  <c r="AE66" i="2"/>
  <c r="AE69" i="2"/>
  <c r="AJ69" i="2"/>
  <c r="AE65" i="2"/>
  <c r="E70" i="2"/>
  <c r="AD70" i="2" s="1"/>
  <c r="BI64" i="2"/>
  <c r="CL69" i="2"/>
  <c r="AE63" i="2"/>
  <c r="AJ63" i="2" s="1"/>
  <c r="AE59" i="2"/>
  <c r="L66" i="2"/>
  <c r="AD72" i="2" s="1"/>
  <c r="AE64" i="2"/>
  <c r="AJ64" i="2" s="1"/>
  <c r="AE70" i="2"/>
  <c r="AJ70" i="2" s="1"/>
  <c r="AV45" i="2"/>
  <c r="CV41" i="2"/>
  <c r="CX50" i="2"/>
  <c r="DC41" i="2"/>
  <c r="B44" i="2"/>
  <c r="C47" i="2"/>
  <c r="C46" i="2"/>
  <c r="BM42" i="2"/>
  <c r="BJ40" i="2"/>
  <c r="J39" i="2"/>
  <c r="C38" i="2"/>
  <c r="BJ48" i="2"/>
  <c r="CW38" i="2"/>
  <c r="BN52" i="2"/>
  <c r="BN47" i="2"/>
  <c r="CJ42" i="2"/>
  <c r="BV43" i="2"/>
  <c r="BZ47" i="2" s="1"/>
  <c r="CZ78" i="2"/>
  <c r="AR45" i="2"/>
  <c r="BV45" i="2"/>
  <c r="BY49" i="2"/>
  <c r="BL44" i="2"/>
  <c r="BL49" i="2"/>
  <c r="BI46" i="2"/>
  <c r="CL43" i="2"/>
  <c r="CL50" i="2"/>
  <c r="CJ45" i="2"/>
  <c r="CL51" i="2"/>
  <c r="CL44" i="2"/>
  <c r="BV52" i="2"/>
  <c r="B42" i="2"/>
  <c r="BV53" i="2"/>
  <c r="BI53" i="2"/>
  <c r="BI50" i="2"/>
  <c r="CV42" i="2"/>
  <c r="AR25" i="2"/>
  <c r="AS31" i="2" s="1"/>
  <c r="AY24" i="2" s="1"/>
  <c r="BW30" i="2"/>
  <c r="BZ34" i="2"/>
  <c r="CJ22" i="2"/>
  <c r="CM24" i="2"/>
  <c r="X21" i="2"/>
  <c r="AG21" i="2" s="1"/>
  <c r="AL21" i="2" s="1"/>
  <c r="O21" i="2"/>
  <c r="BZ24" i="2"/>
  <c r="CA29" i="2"/>
  <c r="AR23" i="2"/>
  <c r="CJ24" i="2"/>
  <c r="BW24" i="2"/>
  <c r="BW34" i="2"/>
  <c r="CM75" i="2"/>
  <c r="BZ75" i="2"/>
  <c r="J74" i="2"/>
  <c r="BM75" i="2"/>
  <c r="AV75" i="2"/>
  <c r="AH71" i="2"/>
  <c r="Y89" i="2"/>
  <c r="Y106" i="2"/>
  <c r="AE97" i="2"/>
  <c r="AE94" i="2"/>
  <c r="CM78" i="2"/>
  <c r="CJ76" i="2"/>
  <c r="AE100" i="2"/>
  <c r="F106" i="2"/>
  <c r="L99" i="2" s="1"/>
  <c r="AD92" i="2" s="1"/>
  <c r="AE101" i="2"/>
  <c r="CX68" i="2"/>
  <c r="CW56" i="2"/>
  <c r="CX67" i="2"/>
  <c r="AE99" i="2"/>
  <c r="AE102" i="2"/>
  <c r="AB57" i="2"/>
  <c r="AI57" i="2" s="1"/>
  <c r="X57" i="2"/>
  <c r="AG57" i="2" s="1"/>
  <c r="AL57" i="2" s="1"/>
  <c r="Z21" i="2"/>
  <c r="AD21" i="2"/>
  <c r="AC100" i="2"/>
  <c r="AJ100" i="2" s="1"/>
  <c r="Y102" i="2"/>
  <c r="E103" i="2"/>
  <c r="Y101" i="2"/>
  <c r="Y98" i="2"/>
  <c r="AH98" i="2" s="1"/>
  <c r="AC103" i="2"/>
  <c r="AE104" i="2"/>
  <c r="L102" i="2"/>
  <c r="AD108" i="2" s="1"/>
  <c r="AE106" i="2"/>
  <c r="AC96" i="2"/>
  <c r="AC94" i="2"/>
  <c r="F105" i="2"/>
  <c r="J99" i="2" s="1"/>
  <c r="AB92" i="2" s="1"/>
  <c r="Y107" i="2"/>
  <c r="F103" i="2"/>
  <c r="J94" i="2" s="1"/>
  <c r="X92" i="2" s="1"/>
  <c r="Y99" i="2"/>
  <c r="J97" i="2"/>
  <c r="X108" i="2" s="1"/>
  <c r="BZ106" i="2"/>
  <c r="BW102" i="2"/>
  <c r="CJ96" i="2"/>
  <c r="CM103" i="2"/>
  <c r="AC102" i="2"/>
  <c r="O102" i="2"/>
  <c r="AI108" i="2" s="1"/>
  <c r="AC97" i="2"/>
  <c r="AC101" i="2"/>
  <c r="AJ101" i="2"/>
  <c r="AC105" i="2"/>
  <c r="AC106" i="2"/>
  <c r="J102" i="2"/>
  <c r="AB108" i="2" s="1"/>
  <c r="AC104" i="2"/>
  <c r="AJ104" i="2" s="1"/>
  <c r="AM104" i="2" s="1"/>
  <c r="AC99" i="2"/>
  <c r="AJ99" i="2" s="1"/>
  <c r="CL105" i="2"/>
  <c r="CL98" i="2"/>
  <c r="CI100" i="2"/>
  <c r="BL103" i="2"/>
  <c r="BI100" i="2"/>
  <c r="BL98" i="2"/>
  <c r="BV105" i="2"/>
  <c r="BY108" i="2"/>
  <c r="X98" i="2"/>
  <c r="X102" i="2"/>
  <c r="X94" i="2"/>
  <c r="AA106" i="2"/>
  <c r="AA97" i="2"/>
  <c r="AH97" i="2" s="1"/>
  <c r="AA95" i="2"/>
  <c r="L97" i="2"/>
  <c r="Z108" i="2" s="1"/>
  <c r="E104" i="2"/>
  <c r="Z104" i="2" s="1"/>
  <c r="F104" i="2"/>
  <c r="L94" i="2"/>
  <c r="Z92" i="2" s="1"/>
  <c r="AA98" i="2"/>
  <c r="AA100" i="2"/>
  <c r="AH100" i="2" s="1"/>
  <c r="AA96" i="2"/>
  <c r="AH96" i="2" s="1"/>
  <c r="AA94" i="2"/>
  <c r="AH94" i="2" s="1"/>
  <c r="AA101" i="2"/>
  <c r="AH101" i="2" s="1"/>
  <c r="AA104" i="2"/>
  <c r="AH104" i="2"/>
  <c r="BI105" i="2"/>
  <c r="BL108" i="2"/>
  <c r="CZ97" i="2"/>
  <c r="CV97" i="2"/>
  <c r="Y86" i="2"/>
  <c r="B81" i="2"/>
  <c r="I77" i="2"/>
  <c r="I82" i="2"/>
  <c r="I78" i="2"/>
  <c r="I83" i="2"/>
  <c r="F85" i="2"/>
  <c r="J76" i="2" s="1"/>
  <c r="X74" i="2" s="1"/>
  <c r="Y80" i="2"/>
  <c r="Y83" i="2"/>
  <c r="Y84" i="2"/>
  <c r="Y78" i="2"/>
  <c r="E85" i="2"/>
  <c r="X81" i="2" s="1"/>
  <c r="AG81" i="2" s="1"/>
  <c r="Y88" i="2"/>
  <c r="Y77" i="2"/>
  <c r="Y82" i="2"/>
  <c r="O79" i="2"/>
  <c r="AG90" i="2" s="1"/>
  <c r="Y79" i="2"/>
  <c r="Y85" i="2"/>
  <c r="Y81" i="2"/>
  <c r="J79" i="2"/>
  <c r="X90" i="2" s="1"/>
  <c r="M75" i="2"/>
  <c r="Y75" i="2"/>
  <c r="AH75" i="2" s="1"/>
  <c r="AM75" i="2"/>
  <c r="P75" i="2"/>
  <c r="BL85" i="2"/>
  <c r="BI82" i="2"/>
  <c r="BL80" i="2"/>
  <c r="AR81" i="2"/>
  <c r="AU80" i="2"/>
  <c r="BY90" i="2"/>
  <c r="BV87" i="2"/>
  <c r="BY79" i="2"/>
  <c r="BW81" i="2"/>
  <c r="BY84" i="2"/>
  <c r="BL90" i="2"/>
  <c r="BI87" i="2"/>
  <c r="AB86" i="2"/>
  <c r="AB80" i="2"/>
  <c r="AB76" i="2"/>
  <c r="AB89" i="2"/>
  <c r="AB77" i="2"/>
  <c r="AB84" i="2"/>
  <c r="AB88" i="2"/>
  <c r="AB79" i="2"/>
  <c r="AB83" i="2"/>
  <c r="AB82" i="2"/>
  <c r="AA82" i="2"/>
  <c r="AA79" i="2"/>
  <c r="AH79" i="2" s="1"/>
  <c r="E86" i="2"/>
  <c r="AA78" i="2"/>
  <c r="AA88" i="2"/>
  <c r="AA83" i="2"/>
  <c r="AH83" i="2" s="1"/>
  <c r="AM83" i="2" s="1"/>
  <c r="AA80" i="2"/>
  <c r="L79" i="2"/>
  <c r="Z90" i="2" s="1"/>
  <c r="AA76" i="2"/>
  <c r="AH76" i="2" s="1"/>
  <c r="AM76" i="2" s="1"/>
  <c r="AA85" i="2"/>
  <c r="AA77" i="2"/>
  <c r="AA81" i="2"/>
  <c r="AH81" i="2" s="1"/>
  <c r="AA86" i="2"/>
  <c r="AH86" i="2" s="1"/>
  <c r="AM86" i="2" s="1"/>
  <c r="AE76" i="2"/>
  <c r="AJ76" i="2"/>
  <c r="AE84" i="2"/>
  <c r="AJ84" i="2" s="1"/>
  <c r="AE78" i="2"/>
  <c r="AJ78" i="2"/>
  <c r="AE83" i="2"/>
  <c r="AJ83" i="2" s="1"/>
  <c r="L84" i="2"/>
  <c r="AD90" i="2"/>
  <c r="AE86" i="2"/>
  <c r="AJ86" i="2" s="1"/>
  <c r="AE79" i="2"/>
  <c r="AE82" i="2"/>
  <c r="AJ82" i="2" s="1"/>
  <c r="AE88" i="2"/>
  <c r="AJ88" i="2" s="1"/>
  <c r="AE85" i="2"/>
  <c r="AJ85" i="2" s="1"/>
  <c r="E88" i="2"/>
  <c r="AD77" i="2" s="1"/>
  <c r="AI77" i="2" s="1"/>
  <c r="AE87" i="2"/>
  <c r="AJ87" i="2" s="1"/>
  <c r="AE89" i="2"/>
  <c r="AJ89" i="2" s="1"/>
  <c r="AE81" i="2"/>
  <c r="AJ81" i="2" s="1"/>
  <c r="F88" i="2"/>
  <c r="L81" i="2" s="1"/>
  <c r="AD74" i="2" s="1"/>
  <c r="AE80" i="2"/>
  <c r="AJ80" i="2"/>
  <c r="AE77" i="2"/>
  <c r="AJ77" i="2" s="1"/>
  <c r="I60" i="2"/>
  <c r="I65" i="2"/>
  <c r="B63" i="2"/>
  <c r="I59" i="2"/>
  <c r="I64" i="2"/>
  <c r="AB62" i="2"/>
  <c r="AB70" i="2"/>
  <c r="AB60" i="2"/>
  <c r="AB64" i="2"/>
  <c r="AB65" i="2"/>
  <c r="AD57" i="2"/>
  <c r="Z57" i="2"/>
  <c r="BJ71" i="2"/>
  <c r="BJ68" i="2"/>
  <c r="BL71" i="2"/>
  <c r="BL61" i="2"/>
  <c r="BJ63" i="2"/>
  <c r="BL66" i="2"/>
  <c r="AD60" i="2"/>
  <c r="AI60" i="2" s="1"/>
  <c r="AD58" i="2"/>
  <c r="AI58" i="2" s="1"/>
  <c r="AD69" i="2"/>
  <c r="AI69" i="2"/>
  <c r="AD68" i="2"/>
  <c r="AD59" i="2"/>
  <c r="AD63" i="2"/>
  <c r="AD62" i="2"/>
  <c r="AD67" i="2"/>
  <c r="AI67" i="2" s="1"/>
  <c r="AD61" i="2"/>
  <c r="AD66" i="2"/>
  <c r="AD71" i="2"/>
  <c r="X63" i="2"/>
  <c r="X68" i="2"/>
  <c r="X61" i="2"/>
  <c r="X64" i="2"/>
  <c r="X70" i="2"/>
  <c r="X60" i="2"/>
  <c r="X67" i="2"/>
  <c r="X66" i="2"/>
  <c r="X69" i="2"/>
  <c r="X62" i="2"/>
  <c r="X65" i="2"/>
  <c r="X71" i="2"/>
  <c r="CW49" i="2"/>
  <c r="DB41" i="2"/>
  <c r="DG41" i="2"/>
  <c r="DA44" i="2"/>
  <c r="CX49" i="2"/>
  <c r="DA41" i="2"/>
  <c r="DF41" i="2"/>
  <c r="C44" i="2"/>
  <c r="I42" i="2"/>
  <c r="I47" i="2"/>
  <c r="B45" i="2"/>
  <c r="I41" i="2"/>
  <c r="I46" i="2"/>
  <c r="BW42" i="2"/>
  <c r="X39" i="2"/>
  <c r="AG39" i="2" s="1"/>
  <c r="AL39" i="2" s="1"/>
  <c r="O39" i="2"/>
  <c r="L39" i="2"/>
  <c r="AB39" i="2"/>
  <c r="AI39" i="2" s="1"/>
  <c r="BV46" i="2"/>
  <c r="BY44" i="2"/>
  <c r="AS44" i="2"/>
  <c r="AU43" i="2"/>
  <c r="BV50" i="2"/>
  <c r="BL54" i="2"/>
  <c r="BI51" i="2"/>
  <c r="BJ45" i="2"/>
  <c r="BL43" i="2"/>
  <c r="BL48" i="2"/>
  <c r="CV43" i="2"/>
  <c r="CZ43" i="2"/>
  <c r="D51" i="2"/>
  <c r="D49" i="2"/>
  <c r="B43" i="2"/>
  <c r="C42" i="2"/>
  <c r="D50" i="2"/>
  <c r="D52" i="2"/>
  <c r="AT31" i="2"/>
  <c r="AX24" i="2" s="1"/>
  <c r="AS22" i="2"/>
  <c r="AT30" i="2"/>
  <c r="AV24" i="2" s="1"/>
  <c r="BA24" i="2" s="1"/>
  <c r="X95" i="2"/>
  <c r="X101" i="2"/>
  <c r="AG101" i="2" s="1"/>
  <c r="X97" i="2"/>
  <c r="AJ94" i="2"/>
  <c r="AM94" i="2" s="1"/>
  <c r="DA59" i="2"/>
  <c r="DF59" i="2"/>
  <c r="X106" i="2"/>
  <c r="X100" i="2"/>
  <c r="X99" i="2"/>
  <c r="AG99" i="2" s="1"/>
  <c r="X105" i="2"/>
  <c r="AJ106" i="2"/>
  <c r="X104" i="2"/>
  <c r="X96" i="2"/>
  <c r="AG96" i="2" s="1"/>
  <c r="DC59" i="2"/>
  <c r="AM101" i="2"/>
  <c r="AM100" i="2"/>
  <c r="CJ99" i="2"/>
  <c r="CL97" i="2"/>
  <c r="CL104" i="2"/>
  <c r="BL102" i="2"/>
  <c r="BL97" i="2"/>
  <c r="BJ99" i="2"/>
  <c r="CZ96" i="2"/>
  <c r="CW96" i="2"/>
  <c r="Z105" i="2"/>
  <c r="Z99" i="2"/>
  <c r="Z96" i="2"/>
  <c r="Z97" i="2"/>
  <c r="Z107" i="2"/>
  <c r="Z106" i="2"/>
  <c r="Z95" i="2"/>
  <c r="Z103" i="2"/>
  <c r="Z101" i="2"/>
  <c r="Z100" i="2"/>
  <c r="AG100" i="2" s="1"/>
  <c r="BL107" i="2"/>
  <c r="BJ107" i="2"/>
  <c r="BJ104" i="2"/>
  <c r="BY107" i="2"/>
  <c r="BW107" i="2"/>
  <c r="BW104" i="2"/>
  <c r="AH85" i="2"/>
  <c r="AM85" i="2" s="1"/>
  <c r="AH80" i="2"/>
  <c r="AM80" i="2" s="1"/>
  <c r="AH77" i="2"/>
  <c r="AM77" i="2" s="1"/>
  <c r="AA75" i="2"/>
  <c r="AE75" i="2"/>
  <c r="AJ75" i="2" s="1"/>
  <c r="X87" i="2"/>
  <c r="X85" i="2"/>
  <c r="AG85" i="2" s="1"/>
  <c r="X84" i="2"/>
  <c r="AG84" i="2" s="1"/>
  <c r="X78" i="2"/>
  <c r="X83" i="2"/>
  <c r="AG83" i="2" s="1"/>
  <c r="X88" i="2"/>
  <c r="X89" i="2"/>
  <c r="AG89" i="2" s="1"/>
  <c r="AS80" i="2"/>
  <c r="AU79" i="2"/>
  <c r="BL84" i="2"/>
  <c r="BJ81" i="2"/>
  <c r="BL79" i="2"/>
  <c r="AM87" i="2"/>
  <c r="BL89" i="2"/>
  <c r="BJ89" i="2"/>
  <c r="BJ86" i="2"/>
  <c r="BW89" i="2"/>
  <c r="BW86" i="2"/>
  <c r="BY89" i="2"/>
  <c r="AD85" i="2"/>
  <c r="AD80" i="2"/>
  <c r="AI80" i="2" s="1"/>
  <c r="AD78" i="2"/>
  <c r="AD79" i="2"/>
  <c r="AI79" i="2" s="1"/>
  <c r="AD87" i="2"/>
  <c r="AD81" i="2"/>
  <c r="AI81" i="2" s="1"/>
  <c r="AD82" i="2"/>
  <c r="AI82" i="2" s="1"/>
  <c r="AM81" i="2"/>
  <c r="Z82" i="2"/>
  <c r="Z77" i="2"/>
  <c r="Z80" i="2"/>
  <c r="Z84" i="2"/>
  <c r="Z81" i="2"/>
  <c r="Z79" i="2"/>
  <c r="Z89" i="2"/>
  <c r="Z76" i="2"/>
  <c r="Z85" i="2"/>
  <c r="Z88" i="2"/>
  <c r="Z87" i="2"/>
  <c r="AG87" i="2" s="1"/>
  <c r="Z83" i="2"/>
  <c r="Z78" i="2"/>
  <c r="Z86" i="2"/>
  <c r="AI70" i="2"/>
  <c r="AD39" i="2"/>
  <c r="Z39" i="2"/>
  <c r="BW45" i="2"/>
  <c r="BY43" i="2"/>
  <c r="BY48" i="2"/>
  <c r="CW42" i="2"/>
  <c r="CZ42" i="2"/>
  <c r="Y51" i="2"/>
  <c r="J43" i="2"/>
  <c r="X54" i="2" s="1"/>
  <c r="Y52" i="2"/>
  <c r="Y43" i="2"/>
  <c r="AH43" i="2" s="1"/>
  <c r="AM43" i="2" s="1"/>
  <c r="Y50" i="2"/>
  <c r="Y41" i="2"/>
  <c r="Y48" i="2"/>
  <c r="Y53" i="2"/>
  <c r="Y49" i="2"/>
  <c r="E49" i="2"/>
  <c r="X48" i="2" s="1"/>
  <c r="AG48" i="2" s="1"/>
  <c r="O43" i="2"/>
  <c r="AG54" i="2" s="1"/>
  <c r="Y40" i="2"/>
  <c r="F49" i="2"/>
  <c r="J40" i="2" s="1"/>
  <c r="X38" i="2" s="1"/>
  <c r="Y45" i="2"/>
  <c r="Y42" i="2"/>
  <c r="Y47" i="2"/>
  <c r="AH47" i="2" s="1"/>
  <c r="Y46" i="2"/>
  <c r="Y44" i="2"/>
  <c r="BL53" i="2"/>
  <c r="BJ53" i="2"/>
  <c r="BJ50" i="2"/>
  <c r="E52" i="2"/>
  <c r="AE49" i="2"/>
  <c r="F52" i="2"/>
  <c r="L45" i="2" s="1"/>
  <c r="AD38" i="2" s="1"/>
  <c r="AE47" i="2"/>
  <c r="AE42" i="2"/>
  <c r="AE46" i="2"/>
  <c r="L48" i="2"/>
  <c r="AD54" i="2" s="1"/>
  <c r="AE43" i="2"/>
  <c r="AE52" i="2"/>
  <c r="AE40" i="2"/>
  <c r="AE53" i="2"/>
  <c r="AE48" i="2"/>
  <c r="AE44" i="2"/>
  <c r="AE50" i="2"/>
  <c r="AE41" i="2"/>
  <c r="AE45" i="2"/>
  <c r="AE51" i="2"/>
  <c r="J48" i="2"/>
  <c r="AB54" i="2" s="1"/>
  <c r="E51" i="2"/>
  <c r="AB40" i="2" s="1"/>
  <c r="AI40" i="2" s="1"/>
  <c r="AC47" i="2"/>
  <c r="AJ47" i="2" s="1"/>
  <c r="AC48" i="2"/>
  <c r="AJ48" i="2" s="1"/>
  <c r="AC40" i="2"/>
  <c r="AJ40" i="2" s="1"/>
  <c r="O48" i="2"/>
  <c r="AI54" i="2" s="1"/>
  <c r="AC52" i="2"/>
  <c r="F51" i="2"/>
  <c r="J45" i="2"/>
  <c r="AB38" i="2" s="1"/>
  <c r="AC44" i="2"/>
  <c r="AJ44" i="2" s="1"/>
  <c r="AC41" i="2"/>
  <c r="AC43" i="2"/>
  <c r="AJ43" i="2" s="1"/>
  <c r="AC49" i="2"/>
  <c r="AC42" i="2"/>
  <c r="AJ42" i="2" s="1"/>
  <c r="AC46" i="2"/>
  <c r="AJ46" i="2" s="1"/>
  <c r="AC45" i="2"/>
  <c r="AJ45" i="2" s="1"/>
  <c r="AC51" i="2"/>
  <c r="AJ51" i="2" s="1"/>
  <c r="AC50" i="2"/>
  <c r="AC53" i="2"/>
  <c r="BV51" i="2"/>
  <c r="BY54" i="2"/>
  <c r="AA44" i="2"/>
  <c r="F50" i="2"/>
  <c r="L40" i="2"/>
  <c r="Z38" i="2" s="1"/>
  <c r="E50" i="2"/>
  <c r="Z43" i="2" s="1"/>
  <c r="AA41" i="2"/>
  <c r="AA49" i="2"/>
  <c r="AA47" i="2"/>
  <c r="AA48" i="2"/>
  <c r="AA52" i="2"/>
  <c r="AA51" i="2"/>
  <c r="AA53" i="2"/>
  <c r="AA50" i="2"/>
  <c r="AA45" i="2"/>
  <c r="AA46" i="2"/>
  <c r="L43" i="2"/>
  <c r="Z54" i="2" s="1"/>
  <c r="AA43" i="2"/>
  <c r="AA42" i="2"/>
  <c r="AA40" i="2"/>
  <c r="AH40" i="2" s="1"/>
  <c r="AM40" i="2" s="1"/>
  <c r="AG88" i="2"/>
  <c r="AG95" i="2"/>
  <c r="AG97" i="2"/>
  <c r="AG105" i="2"/>
  <c r="AG78" i="2"/>
  <c r="AJ52" i="2"/>
  <c r="AJ49" i="2"/>
  <c r="AB52" i="2"/>
  <c r="AI52" i="2" s="1"/>
  <c r="AB42" i="2"/>
  <c r="AI42" i="2" s="1"/>
  <c r="AB53" i="2"/>
  <c r="AI53" i="2" s="1"/>
  <c r="AH42" i="2"/>
  <c r="AH48" i="2"/>
  <c r="AM48" i="2" s="1"/>
  <c r="AH52" i="2"/>
  <c r="AH44" i="2"/>
  <c r="AM44" i="2" s="1"/>
  <c r="AH45" i="2"/>
  <c r="AM45" i="2" s="1"/>
  <c r="X52" i="2"/>
  <c r="X40" i="2"/>
  <c r="X44" i="2"/>
  <c r="X47" i="2"/>
  <c r="X41" i="2"/>
  <c r="X53" i="2"/>
  <c r="X49" i="2"/>
  <c r="X50" i="2"/>
  <c r="X51" i="2"/>
  <c r="AG51" i="2" s="1"/>
  <c r="X45" i="2"/>
  <c r="AH41" i="2"/>
  <c r="AD41" i="2"/>
  <c r="AD40" i="2"/>
  <c r="AD50" i="2"/>
  <c r="AD49" i="2"/>
  <c r="AD46" i="2"/>
  <c r="AD53" i="2"/>
  <c r="AD48" i="2"/>
  <c r="AD45" i="2"/>
  <c r="AD43" i="2"/>
  <c r="AD42" i="2"/>
  <c r="AD51" i="2"/>
  <c r="AD47" i="2"/>
  <c r="AD44" i="2"/>
  <c r="AD52" i="2"/>
  <c r="AH46" i="2"/>
  <c r="AH49" i="2"/>
  <c r="AM49" i="2" s="1"/>
  <c r="AH50" i="2"/>
  <c r="AH51" i="2"/>
  <c r="AM51" i="2"/>
  <c r="Z47" i="2"/>
  <c r="Z42" i="2"/>
  <c r="Z51" i="2"/>
  <c r="Z46" i="2"/>
  <c r="Z48" i="2"/>
  <c r="Z41" i="2"/>
  <c r="Z49" i="2"/>
  <c r="Z50" i="2"/>
  <c r="Z45" i="2"/>
  <c r="Z44" i="2"/>
  <c r="BY53" i="2"/>
  <c r="BW53" i="2"/>
  <c r="BW50" i="2"/>
  <c r="AH53" i="2"/>
  <c r="AM52" i="2"/>
  <c r="AG50" i="2"/>
  <c r="AG49" i="2"/>
  <c r="AM47" i="2" l="1"/>
  <c r="AM42" i="2"/>
  <c r="AI62" i="2"/>
  <c r="AH106" i="2"/>
  <c r="AI68" i="2"/>
  <c r="AB41" i="2"/>
  <c r="AI41" i="2" s="1"/>
  <c r="AB44" i="2"/>
  <c r="AI44" i="2" s="1"/>
  <c r="AB47" i="2"/>
  <c r="AI47" i="2" s="1"/>
  <c r="AB46" i="2"/>
  <c r="AJ53" i="2"/>
  <c r="AM53" i="2" s="1"/>
  <c r="AL81" i="2"/>
  <c r="AN81" i="2" s="1"/>
  <c r="AL8" i="2" s="1"/>
  <c r="Z53" i="2"/>
  <c r="AG53" i="2" s="1"/>
  <c r="AL53" i="2" s="1"/>
  <c r="Z52" i="2"/>
  <c r="Z40" i="2"/>
  <c r="AG40" i="2" s="1"/>
  <c r="AL40" i="2" s="1"/>
  <c r="AN40" i="2" s="1"/>
  <c r="AH3" i="2" s="1"/>
  <c r="X42" i="2"/>
  <c r="AG42" i="2" s="1"/>
  <c r="AL42" i="2" s="1"/>
  <c r="X46" i="2"/>
  <c r="AG46" i="2" s="1"/>
  <c r="X43" i="2"/>
  <c r="AG43" i="2" s="1"/>
  <c r="AB49" i="2"/>
  <c r="AI49" i="2" s="1"/>
  <c r="AL49" i="2" s="1"/>
  <c r="AN49" i="2" s="1"/>
  <c r="AH12" i="2" s="1"/>
  <c r="AB48" i="2"/>
  <c r="AI48" i="2" s="1"/>
  <c r="AB51" i="2"/>
  <c r="AI51" i="2" s="1"/>
  <c r="AL51" i="2" s="1"/>
  <c r="AN51" i="2" s="1"/>
  <c r="AH14" i="2" s="1"/>
  <c r="AB43" i="2"/>
  <c r="AI43" i="2" s="1"/>
  <c r="AJ50" i="2"/>
  <c r="AM50" i="2" s="1"/>
  <c r="AJ41" i="2"/>
  <c r="AM41" i="2" s="1"/>
  <c r="AD89" i="2"/>
  <c r="AI89" i="2" s="1"/>
  <c r="AL89" i="2" s="1"/>
  <c r="AN89" i="2" s="1"/>
  <c r="AL16" i="2" s="1"/>
  <c r="AD83" i="2"/>
  <c r="AI83" i="2" s="1"/>
  <c r="AL83" i="2" s="1"/>
  <c r="AN83" i="2" s="1"/>
  <c r="AL10" i="2" s="1"/>
  <c r="AD84" i="2"/>
  <c r="AI84" i="2" s="1"/>
  <c r="AL84" i="2" s="1"/>
  <c r="AD76" i="2"/>
  <c r="AI76" i="2" s="1"/>
  <c r="X82" i="2"/>
  <c r="X79" i="2"/>
  <c r="AG79" i="2" s="1"/>
  <c r="AL79" i="2" s="1"/>
  <c r="X86" i="2"/>
  <c r="AG86" i="2" s="1"/>
  <c r="Z98" i="2"/>
  <c r="AG98" i="2" s="1"/>
  <c r="Z102" i="2"/>
  <c r="AG102" i="2" s="1"/>
  <c r="Z94" i="2"/>
  <c r="AG94" i="2" s="1"/>
  <c r="AG104" i="2"/>
  <c r="AJ102" i="2"/>
  <c r="X107" i="2"/>
  <c r="AG107" i="2" s="1"/>
  <c r="X103" i="2"/>
  <c r="AG103" i="2" s="1"/>
  <c r="AJ65" i="2"/>
  <c r="C74" i="2"/>
  <c r="J75" i="2"/>
  <c r="AM46" i="2"/>
  <c r="AG44" i="2"/>
  <c r="AG45" i="2"/>
  <c r="AB45" i="2"/>
  <c r="AI45" i="2" s="1"/>
  <c r="AB50" i="2"/>
  <c r="AI50" i="2" s="1"/>
  <c r="AL50" i="2" s="1"/>
  <c r="AG82" i="2"/>
  <c r="AL82" i="2" s="1"/>
  <c r="AD88" i="2"/>
  <c r="AI88" i="2" s="1"/>
  <c r="AL88" i="2" s="1"/>
  <c r="AD86" i="2"/>
  <c r="AI86" i="2" s="1"/>
  <c r="X76" i="2"/>
  <c r="AG76" i="2" s="1"/>
  <c r="AL76" i="2" s="1"/>
  <c r="AN76" i="2" s="1"/>
  <c r="AL3" i="2" s="1"/>
  <c r="X80" i="2"/>
  <c r="AG80" i="2" s="1"/>
  <c r="AL80" i="2" s="1"/>
  <c r="AN80" i="2" s="1"/>
  <c r="AL7" i="2" s="1"/>
  <c r="X77" i="2"/>
  <c r="AG77" i="2" s="1"/>
  <c r="AL77" i="2" s="1"/>
  <c r="AN77" i="2" s="1"/>
  <c r="AL4" i="2" s="1"/>
  <c r="AM106" i="2"/>
  <c r="AG106" i="2"/>
  <c r="AJ97" i="2"/>
  <c r="AM97" i="2" s="1"/>
  <c r="AM64" i="2"/>
  <c r="AI87" i="2"/>
  <c r="AL87" i="2" s="1"/>
  <c r="AN87" i="2" s="1"/>
  <c r="AL14" i="2" s="1"/>
  <c r="AJ59" i="2"/>
  <c r="AM59" i="2" s="1"/>
  <c r="BJ58" i="2"/>
  <c r="M93" i="2"/>
  <c r="X58" i="2"/>
  <c r="AD65" i="2"/>
  <c r="AI65" i="2" s="1"/>
  <c r="AD64" i="2"/>
  <c r="AI64" i="2" s="1"/>
  <c r="F86" i="2"/>
  <c r="L76" i="2" s="1"/>
  <c r="Z74" i="2" s="1"/>
  <c r="AA84" i="2"/>
  <c r="AH84" i="2" s="1"/>
  <c r="AM84" i="2" s="1"/>
  <c r="AA89" i="2"/>
  <c r="AH89" i="2" s="1"/>
  <c r="AM89" i="2" s="1"/>
  <c r="AB87" i="2"/>
  <c r="AB85" i="2"/>
  <c r="AI85" i="2" s="1"/>
  <c r="AL85" i="2" s="1"/>
  <c r="AN85" i="2" s="1"/>
  <c r="AL12" i="2" s="1"/>
  <c r="AB78" i="2"/>
  <c r="AI78" i="2" s="1"/>
  <c r="AL78" i="2" s="1"/>
  <c r="AA107" i="2"/>
  <c r="AA99" i="2"/>
  <c r="AA102" i="2"/>
  <c r="AH102" i="2" s="1"/>
  <c r="AM102" i="2" s="1"/>
  <c r="AA105" i="2"/>
  <c r="AH105" i="2" s="1"/>
  <c r="E105" i="2"/>
  <c r="AH99" i="2"/>
  <c r="AM99" i="2" s="1"/>
  <c r="AC107" i="2"/>
  <c r="AE95" i="2"/>
  <c r="AJ95" i="2" s="1"/>
  <c r="AM95" i="2" s="1"/>
  <c r="AE96" i="2"/>
  <c r="AJ96" i="2" s="1"/>
  <c r="AM96" i="2" s="1"/>
  <c r="AE103" i="2"/>
  <c r="AJ103" i="2" s="1"/>
  <c r="AE105" i="2"/>
  <c r="AJ105" i="2" s="1"/>
  <c r="AE62" i="2"/>
  <c r="AJ62" i="2" s="1"/>
  <c r="AM62" i="2" s="1"/>
  <c r="AE61" i="2"/>
  <c r="F70" i="2"/>
  <c r="L63" i="2" s="1"/>
  <c r="AD56" i="2" s="1"/>
  <c r="AB66" i="2"/>
  <c r="AI66" i="2" s="1"/>
  <c r="AB61" i="2"/>
  <c r="AI61" i="2" s="1"/>
  <c r="AH67" i="2"/>
  <c r="AE60" i="2"/>
  <c r="AC61" i="2"/>
  <c r="E68" i="2"/>
  <c r="AA61" i="2"/>
  <c r="AH61" i="2" s="1"/>
  <c r="AC67" i="2"/>
  <c r="AJ67" i="2" s="1"/>
  <c r="L61" i="2"/>
  <c r="Z72" i="2" s="1"/>
  <c r="AC66" i="2"/>
  <c r="AJ66" i="2" s="1"/>
  <c r="AM66" i="2" s="1"/>
  <c r="AA70" i="2"/>
  <c r="AH70" i="2" s="1"/>
  <c r="AM70" i="2" s="1"/>
  <c r="AC98" i="2"/>
  <c r="AJ98" i="2" s="1"/>
  <c r="AM98" i="2" s="1"/>
  <c r="Y103" i="2"/>
  <c r="AH103" i="2" s="1"/>
  <c r="BJ76" i="2"/>
  <c r="P93" i="2"/>
  <c r="AC68" i="2"/>
  <c r="AJ68" i="2" s="1"/>
  <c r="AM68" i="2" s="1"/>
  <c r="F69" i="2"/>
  <c r="J63" i="2" s="1"/>
  <c r="AB56" i="2" s="1"/>
  <c r="AA65" i="2"/>
  <c r="AE58" i="2"/>
  <c r="AC60" i="2"/>
  <c r="AJ60" i="2" s="1"/>
  <c r="AM60" i="2" s="1"/>
  <c r="AT84" i="2"/>
  <c r="AV78" i="2" s="1"/>
  <c r="BA78" i="2" s="1"/>
  <c r="AC39" i="2"/>
  <c r="Y39" i="2"/>
  <c r="AH39" i="2" s="1"/>
  <c r="AM39" i="2" s="1"/>
  <c r="AJ71" i="2"/>
  <c r="AM71" i="2" s="1"/>
  <c r="BW78" i="2"/>
  <c r="AH65" i="2"/>
  <c r="AM65" i="2" s="1"/>
  <c r="AH95" i="2"/>
  <c r="AC58" i="2"/>
  <c r="AJ58" i="2" s="1"/>
  <c r="AM58" i="2" s="1"/>
  <c r="AA69" i="2"/>
  <c r="AH69" i="2" s="1"/>
  <c r="AM69" i="2" s="1"/>
  <c r="Q14" i="2"/>
  <c r="Q15" i="2" s="1"/>
  <c r="G38" i="1" s="1"/>
  <c r="CV25" i="2"/>
  <c r="CW24" i="2" s="1"/>
  <c r="AU25" i="2"/>
  <c r="CL33" i="2"/>
  <c r="BV32" i="2"/>
  <c r="BY36" i="2" s="1"/>
  <c r="CX31" i="2"/>
  <c r="DA23" i="2" s="1"/>
  <c r="DF23" i="2" s="1"/>
  <c r="CW31" i="2"/>
  <c r="DB23" i="2" s="1"/>
  <c r="DG23" i="2" s="1"/>
  <c r="DA26" i="2"/>
  <c r="C8" i="2"/>
  <c r="E8" i="2" s="1"/>
  <c r="AK3" i="2" s="1"/>
  <c r="C6" i="2"/>
  <c r="E6" i="2" s="1"/>
  <c r="AI11" i="2" s="1"/>
  <c r="C4" i="2"/>
  <c r="E4" i="2" s="1"/>
  <c r="AG4" i="2" s="1"/>
  <c r="V14" i="2"/>
  <c r="V15" i="2" s="1"/>
  <c r="G39" i="1" s="1"/>
  <c r="AV27" i="2"/>
  <c r="AS30" i="2"/>
  <c r="AW24" i="2" s="1"/>
  <c r="BB24" i="2" s="1"/>
  <c r="C28" i="2"/>
  <c r="B29" i="2"/>
  <c r="C29" i="2" s="1"/>
  <c r="CL32" i="2"/>
  <c r="CL25" i="2"/>
  <c r="CJ27" i="2"/>
  <c r="BL30" i="2"/>
  <c r="BV27" i="2"/>
  <c r="BY31" i="2" s="1"/>
  <c r="CL26" i="2"/>
  <c r="BL36" i="2"/>
  <c r="BI33" i="2"/>
  <c r="CZ24" i="2"/>
  <c r="BJ27" i="2"/>
  <c r="BV33" i="2"/>
  <c r="D33" i="2"/>
  <c r="D34" i="2"/>
  <c r="D32" i="2"/>
  <c r="B25" i="2"/>
  <c r="C24" i="2" s="1"/>
  <c r="D31" i="2"/>
  <c r="C12" i="2"/>
  <c r="E12" i="2" s="1"/>
  <c r="C10" i="2"/>
  <c r="E10" i="2" s="1"/>
  <c r="AK12" i="2"/>
  <c r="AK15" i="2"/>
  <c r="AK10" i="2"/>
  <c r="AK11" i="2"/>
  <c r="AK16" i="2"/>
  <c r="AK6" i="2"/>
  <c r="AK8" i="2"/>
  <c r="AK5" i="2"/>
  <c r="F8" i="2"/>
  <c r="CM68" i="2" s="1"/>
  <c r="AX78" i="2"/>
  <c r="AT49" i="2"/>
  <c r="AS40" i="2"/>
  <c r="AT48" i="2"/>
  <c r="CM67" i="2"/>
  <c r="CJ60" i="2"/>
  <c r="BJ78" i="2"/>
  <c r="BM83" i="2"/>
  <c r="BJ24" i="2"/>
  <c r="BM29" i="2"/>
  <c r="BJ42" i="2"/>
  <c r="BM47" i="2"/>
  <c r="AS94" i="2"/>
  <c r="AT102" i="2"/>
  <c r="AT103" i="2"/>
  <c r="CM85" i="2"/>
  <c r="AG41" i="2"/>
  <c r="AL41" i="2" s="1"/>
  <c r="AN41" i="2" s="1"/>
  <c r="AH4" i="2" s="1"/>
  <c r="AI46" i="2"/>
  <c r="AL46" i="2" s="1"/>
  <c r="AN46" i="2" s="1"/>
  <c r="AH9" i="2" s="1"/>
  <c r="AL48" i="2"/>
  <c r="AN48" i="2" s="1"/>
  <c r="AH11" i="2" s="1"/>
  <c r="AL43" i="2"/>
  <c r="AN43" i="2" s="1"/>
  <c r="AH6" i="2" s="1"/>
  <c r="AL44" i="2"/>
  <c r="AN44" i="2" s="1"/>
  <c r="AH7" i="2" s="1"/>
  <c r="AG47" i="2"/>
  <c r="AG52" i="2"/>
  <c r="AL52" i="2" s="1"/>
  <c r="AN52" i="2" s="1"/>
  <c r="AH15" i="2" s="1"/>
  <c r="AH88" i="2"/>
  <c r="AM88" i="2" s="1"/>
  <c r="AE39" i="2"/>
  <c r="AJ39" i="2" s="1"/>
  <c r="AA39" i="2"/>
  <c r="BW40" i="2"/>
  <c r="BZ42" i="2"/>
  <c r="AC57" i="2"/>
  <c r="P57" i="2"/>
  <c r="Y57" i="2"/>
  <c r="AH57" i="2" s="1"/>
  <c r="AM57" i="2" s="1"/>
  <c r="M57" i="2"/>
  <c r="CJ58" i="2"/>
  <c r="CM60" i="2"/>
  <c r="AC21" i="2"/>
  <c r="P21" i="2"/>
  <c r="Y21" i="2"/>
  <c r="AH21" i="2" s="1"/>
  <c r="AM21" i="2" s="1"/>
  <c r="M21" i="2"/>
  <c r="AH82" i="2"/>
  <c r="AM82" i="2" s="1"/>
  <c r="AN82" i="2" s="1"/>
  <c r="AL9" i="2" s="1"/>
  <c r="AH78" i="2"/>
  <c r="AM78" i="2" s="1"/>
  <c r="AH107" i="2"/>
  <c r="BZ60" i="2"/>
  <c r="BW58" i="2"/>
  <c r="BM96" i="2"/>
  <c r="BJ94" i="2"/>
  <c r="AM67" i="2"/>
  <c r="BW76" i="2"/>
  <c r="BZ78" i="2"/>
  <c r="CM96" i="2"/>
  <c r="CJ94" i="2"/>
  <c r="C92" i="2"/>
  <c r="J93" i="2"/>
  <c r="AB63" i="2"/>
  <c r="AI63" i="2" s="1"/>
  <c r="AB71" i="2"/>
  <c r="AI71" i="2" s="1"/>
  <c r="AE107" i="2"/>
  <c r="AJ107" i="2" s="1"/>
  <c r="BM24" i="2"/>
  <c r="BZ96" i="2"/>
  <c r="AC79" i="2"/>
  <c r="AJ79" i="2" s="1"/>
  <c r="AM79" i="2" s="1"/>
  <c r="AN79" i="2" s="1"/>
  <c r="AL6" i="2" s="1"/>
  <c r="CA78" i="2"/>
  <c r="AB59" i="2"/>
  <c r="AI59" i="2" s="1"/>
  <c r="E106" i="2"/>
  <c r="AN50" i="2" l="1"/>
  <c r="AH13" i="2" s="1"/>
  <c r="AM103" i="2"/>
  <c r="AE93" i="2"/>
  <c r="AJ93" i="2" s="1"/>
  <c r="AA93" i="2"/>
  <c r="AL45" i="2"/>
  <c r="AN45" i="2" s="1"/>
  <c r="AH8" i="2" s="1"/>
  <c r="O75" i="2"/>
  <c r="L75" i="2"/>
  <c r="AB75" i="2"/>
  <c r="AI75" i="2" s="1"/>
  <c r="X75" i="2"/>
  <c r="AG75" i="2" s="1"/>
  <c r="AL75" i="2" s="1"/>
  <c r="AL86" i="2"/>
  <c r="AN86" i="2" s="1"/>
  <c r="AL13" i="2" s="1"/>
  <c r="AN84" i="2"/>
  <c r="AL11" i="2" s="1"/>
  <c r="AL62" i="2"/>
  <c r="AN62" i="2" s="1"/>
  <c r="AJ7" i="2" s="1"/>
  <c r="AN78" i="2"/>
  <c r="AL5" i="2" s="1"/>
  <c r="AN88" i="2"/>
  <c r="AL15" i="2" s="1"/>
  <c r="AN67" i="2"/>
  <c r="AJ12" i="2" s="1"/>
  <c r="AA12" i="2" s="1"/>
  <c r="AJ61" i="2"/>
  <c r="AM61" i="2" s="1"/>
  <c r="AB96" i="2"/>
  <c r="AB101" i="2"/>
  <c r="AB105" i="2"/>
  <c r="AB106" i="2"/>
  <c r="AB102" i="2"/>
  <c r="AB107" i="2"/>
  <c r="AB98" i="2"/>
  <c r="AB104" i="2"/>
  <c r="AB95" i="2"/>
  <c r="AB97" i="2"/>
  <c r="AB94" i="2"/>
  <c r="AB103" i="2"/>
  <c r="AB100" i="2"/>
  <c r="AB99" i="2"/>
  <c r="AN53" i="2"/>
  <c r="AH16" i="2" s="1"/>
  <c r="AL47" i="2"/>
  <c r="AN47" i="2" s="1"/>
  <c r="AH10" i="2" s="1"/>
  <c r="Z68" i="2"/>
  <c r="AG68" i="2" s="1"/>
  <c r="AL68" i="2" s="1"/>
  <c r="AN68" i="2" s="1"/>
  <c r="AJ13" i="2" s="1"/>
  <c r="Z63" i="2"/>
  <c r="AG63" i="2" s="1"/>
  <c r="AL63" i="2" s="1"/>
  <c r="AN63" i="2" s="1"/>
  <c r="AJ8" i="2" s="1"/>
  <c r="AA8" i="2" s="1"/>
  <c r="Z65" i="2"/>
  <c r="AG65" i="2" s="1"/>
  <c r="AL65" i="2" s="1"/>
  <c r="AN65" i="2" s="1"/>
  <c r="AJ10" i="2" s="1"/>
  <c r="AA10" i="2" s="1"/>
  <c r="Z60" i="2"/>
  <c r="AG60" i="2" s="1"/>
  <c r="AL60" i="2" s="1"/>
  <c r="AN60" i="2" s="1"/>
  <c r="AJ5" i="2" s="1"/>
  <c r="AA5" i="2" s="1"/>
  <c r="Z69" i="2"/>
  <c r="AG69" i="2" s="1"/>
  <c r="AL69" i="2" s="1"/>
  <c r="AN69" i="2" s="1"/>
  <c r="AJ14" i="2" s="1"/>
  <c r="Z58" i="2"/>
  <c r="AG58" i="2" s="1"/>
  <c r="AL58" i="2" s="1"/>
  <c r="AN58" i="2" s="1"/>
  <c r="AJ3" i="2" s="1"/>
  <c r="AA3" i="2" s="1"/>
  <c r="AA17" i="2" s="1"/>
  <c r="AV5" i="2" s="1"/>
  <c r="Z61" i="2"/>
  <c r="AG61" i="2" s="1"/>
  <c r="AL61" i="2" s="1"/>
  <c r="Z62" i="2"/>
  <c r="AG62" i="2" s="1"/>
  <c r="Z66" i="2"/>
  <c r="AG66" i="2" s="1"/>
  <c r="AL66" i="2" s="1"/>
  <c r="AN66" i="2" s="1"/>
  <c r="AJ11" i="2" s="1"/>
  <c r="AA11" i="2" s="1"/>
  <c r="Z70" i="2"/>
  <c r="AG70" i="2" s="1"/>
  <c r="AL70" i="2" s="1"/>
  <c r="AN70" i="2" s="1"/>
  <c r="AJ15" i="2" s="1"/>
  <c r="AA15" i="2" s="1"/>
  <c r="Z71" i="2"/>
  <c r="AG71" i="2" s="1"/>
  <c r="AL71" i="2" s="1"/>
  <c r="AN71" i="2" s="1"/>
  <c r="AJ16" i="2" s="1"/>
  <c r="AA16" i="2" s="1"/>
  <c r="Z67" i="2"/>
  <c r="AG67" i="2" s="1"/>
  <c r="AL67" i="2" s="1"/>
  <c r="Z59" i="2"/>
  <c r="AG59" i="2" s="1"/>
  <c r="AL59" i="2" s="1"/>
  <c r="AN59" i="2" s="1"/>
  <c r="AJ4" i="2" s="1"/>
  <c r="Z64" i="2"/>
  <c r="AG64" i="2" s="1"/>
  <c r="AL64" i="2" s="1"/>
  <c r="AN64" i="2" s="1"/>
  <c r="AJ9" i="2" s="1"/>
  <c r="AM105" i="2"/>
  <c r="AN42" i="2"/>
  <c r="AH5" i="2" s="1"/>
  <c r="E38" i="1"/>
  <c r="I38" i="1" s="1"/>
  <c r="AG7" i="2"/>
  <c r="C26" i="2"/>
  <c r="AG9" i="2"/>
  <c r="BV28" i="2"/>
  <c r="BW27" i="2" s="1"/>
  <c r="B26" i="2"/>
  <c r="I24" i="2" s="1"/>
  <c r="I29" i="2" s="1"/>
  <c r="AV61" i="2"/>
  <c r="AG12" i="2"/>
  <c r="AG5" i="2"/>
  <c r="AG10" i="2"/>
  <c r="AG16" i="2"/>
  <c r="AG14" i="2"/>
  <c r="CM62" i="2"/>
  <c r="AG6" i="2"/>
  <c r="AG11" i="2"/>
  <c r="AG3" i="2"/>
  <c r="CM61" i="2"/>
  <c r="CM69" i="2"/>
  <c r="AG13" i="2"/>
  <c r="AK9" i="2"/>
  <c r="AK7" i="2"/>
  <c r="AK13" i="2"/>
  <c r="AA13" i="2" s="1"/>
  <c r="AI9" i="2"/>
  <c r="Z9" i="2" s="1"/>
  <c r="AI14" i="2"/>
  <c r="Z14" i="2" s="1"/>
  <c r="AI8" i="2"/>
  <c r="E39" i="1"/>
  <c r="C39" i="1" s="1"/>
  <c r="BZ62" i="2"/>
  <c r="Z11" i="2"/>
  <c r="I21" i="1"/>
  <c r="AK14" i="2"/>
  <c r="AA14" i="2" s="1"/>
  <c r="AK4" i="2"/>
  <c r="AG15" i="2"/>
  <c r="I10" i="1"/>
  <c r="AG8" i="2"/>
  <c r="F4" i="2"/>
  <c r="M29" i="2" s="1"/>
  <c r="F6" i="2"/>
  <c r="AV43" i="2" s="1"/>
  <c r="AI6" i="2"/>
  <c r="Z6" i="2" s="1"/>
  <c r="AI7" i="2"/>
  <c r="Z7" i="2" s="1"/>
  <c r="AI16" i="2"/>
  <c r="AI12" i="2"/>
  <c r="Z12" i="2" s="1"/>
  <c r="AI13" i="2"/>
  <c r="Z13" i="2" s="1"/>
  <c r="AI10" i="2"/>
  <c r="AI3" i="2"/>
  <c r="Z3" i="2" s="1"/>
  <c r="Z17" i="2" s="1"/>
  <c r="AU4" i="2" s="1"/>
  <c r="AI15" i="2"/>
  <c r="Z15" i="2" s="1"/>
  <c r="I16" i="1"/>
  <c r="AI5" i="2"/>
  <c r="AI4" i="2"/>
  <c r="Z4" i="2" s="1"/>
  <c r="BY26" i="2"/>
  <c r="BL35" i="2"/>
  <c r="BJ35" i="2"/>
  <c r="BJ32" i="2" s="1"/>
  <c r="BY25" i="2"/>
  <c r="L30" i="2"/>
  <c r="AD36" i="2" s="1"/>
  <c r="AE26" i="2"/>
  <c r="AE33" i="2"/>
  <c r="AE28" i="2"/>
  <c r="AE23" i="2"/>
  <c r="AE31" i="2"/>
  <c r="AE27" i="2"/>
  <c r="E34" i="2"/>
  <c r="AE24" i="2"/>
  <c r="AE30" i="2"/>
  <c r="AE34" i="2"/>
  <c r="F34" i="2"/>
  <c r="L27" i="2" s="1"/>
  <c r="AD20" i="2" s="1"/>
  <c r="AE35" i="2"/>
  <c r="AE22" i="2"/>
  <c r="AE32" i="2"/>
  <c r="AE29" i="2"/>
  <c r="AE25" i="2"/>
  <c r="Y35" i="2"/>
  <c r="Y34" i="2"/>
  <c r="Y28" i="2"/>
  <c r="Y23" i="2"/>
  <c r="E31" i="2"/>
  <c r="F31" i="2"/>
  <c r="J22" i="2" s="1"/>
  <c r="X20" i="2" s="1"/>
  <c r="O25" i="2"/>
  <c r="AG36" i="2" s="1"/>
  <c r="Y24" i="2"/>
  <c r="Y32" i="2"/>
  <c r="Y29" i="2"/>
  <c r="Y25" i="2"/>
  <c r="Y26" i="2"/>
  <c r="J25" i="2"/>
  <c r="X36" i="2" s="1"/>
  <c r="Y31" i="2"/>
  <c r="Y30" i="2"/>
  <c r="Y22" i="2"/>
  <c r="Y33" i="2"/>
  <c r="Y27" i="2"/>
  <c r="AC26" i="2"/>
  <c r="AJ26" i="2" s="1"/>
  <c r="E33" i="2"/>
  <c r="AC24" i="2"/>
  <c r="AC33" i="2"/>
  <c r="AJ33" i="2" s="1"/>
  <c r="AC32" i="2"/>
  <c r="AJ32" i="2" s="1"/>
  <c r="O30" i="2"/>
  <c r="AI36" i="2" s="1"/>
  <c r="AC34" i="2"/>
  <c r="AC23" i="2"/>
  <c r="AC25" i="2"/>
  <c r="AJ25" i="2" s="1"/>
  <c r="AC31" i="2"/>
  <c r="AC28" i="2"/>
  <c r="AC22" i="2"/>
  <c r="AC27" i="2"/>
  <c r="AJ27" i="2" s="1"/>
  <c r="J30" i="2"/>
  <c r="AB36" i="2" s="1"/>
  <c r="AC29" i="2"/>
  <c r="AC30" i="2"/>
  <c r="F33" i="2"/>
  <c r="J27" i="2" s="1"/>
  <c r="AB20" i="2" s="1"/>
  <c r="AC35" i="2"/>
  <c r="AJ35" i="2" s="1"/>
  <c r="BY35" i="2"/>
  <c r="BW35" i="2"/>
  <c r="BW32" i="2" s="1"/>
  <c r="AA24" i="2"/>
  <c r="AA29" i="2"/>
  <c r="AA33" i="2"/>
  <c r="E32" i="2"/>
  <c r="AA27" i="2"/>
  <c r="AA32" i="2"/>
  <c r="AA31" i="2"/>
  <c r="AA22" i="2"/>
  <c r="L25" i="2"/>
  <c r="Z36" i="2" s="1"/>
  <c r="F32" i="2"/>
  <c r="L22" i="2" s="1"/>
  <c r="Z20" i="2" s="1"/>
  <c r="AA34" i="2"/>
  <c r="AA30" i="2"/>
  <c r="AA35" i="2"/>
  <c r="AA25" i="2"/>
  <c r="AA28" i="2"/>
  <c r="AA26" i="2"/>
  <c r="AA23" i="2"/>
  <c r="BZ61" i="2"/>
  <c r="CC61" i="2" s="1"/>
  <c r="AM5" i="2"/>
  <c r="AB5" i="2" s="1"/>
  <c r="AM3" i="2"/>
  <c r="AB3" i="2" s="1"/>
  <c r="AB17" i="2" s="1"/>
  <c r="AW3" i="2" s="1"/>
  <c r="AM8" i="2"/>
  <c r="AB8" i="2" s="1"/>
  <c r="AM13" i="2"/>
  <c r="AB13" i="2" s="1"/>
  <c r="AM11" i="2"/>
  <c r="AM9" i="2"/>
  <c r="AB9" i="2" s="1"/>
  <c r="AM7" i="2"/>
  <c r="AB7" i="2" s="1"/>
  <c r="AM16" i="2"/>
  <c r="AB16" i="2" s="1"/>
  <c r="AM10" i="2"/>
  <c r="AB10" i="2" s="1"/>
  <c r="AM15" i="2"/>
  <c r="AB15" i="2" s="1"/>
  <c r="AM12" i="2"/>
  <c r="AB12" i="2" s="1"/>
  <c r="I26" i="1"/>
  <c r="AM4" i="2"/>
  <c r="AB4" i="2" s="1"/>
  <c r="AM6" i="2"/>
  <c r="AB6" i="2" s="1"/>
  <c r="AM14" i="2"/>
  <c r="AB14" i="2" s="1"/>
  <c r="F10" i="2"/>
  <c r="AO16" i="2"/>
  <c r="AO6" i="2"/>
  <c r="AO12" i="2"/>
  <c r="AO14" i="2"/>
  <c r="AO9" i="2"/>
  <c r="AO4" i="2"/>
  <c r="AO15" i="2"/>
  <c r="AO8" i="2"/>
  <c r="F12" i="2"/>
  <c r="AV98" i="2" s="1"/>
  <c r="AO7" i="2"/>
  <c r="AO13" i="2"/>
  <c r="I31" i="1"/>
  <c r="AO3" i="2"/>
  <c r="AO10" i="2"/>
  <c r="AO11" i="2"/>
  <c r="AO5" i="2"/>
  <c r="DN58" i="2"/>
  <c r="DM6" i="2" s="1"/>
  <c r="DM7" i="2" s="1"/>
  <c r="O8" i="2"/>
  <c r="K64" i="2"/>
  <c r="BM71" i="2"/>
  <c r="T8" i="2"/>
  <c r="BM67" i="2"/>
  <c r="BN66" i="2"/>
  <c r="DD60" i="2"/>
  <c r="DG60" i="2" s="1"/>
  <c r="J8" i="2"/>
  <c r="L8" i="2" s="1"/>
  <c r="CN62" i="2"/>
  <c r="CP62" i="2" s="1"/>
  <c r="F21" i="1"/>
  <c r="DB60" i="2"/>
  <c r="BM61" i="2"/>
  <c r="L65" i="2"/>
  <c r="DA60" i="2"/>
  <c r="DC61" i="2"/>
  <c r="BN72" i="2"/>
  <c r="K65" i="2"/>
  <c r="H8" i="2"/>
  <c r="I8" i="2" s="1"/>
  <c r="M60" i="2"/>
  <c r="P60" i="2" s="1"/>
  <c r="AY61" i="2"/>
  <c r="BB61" i="2" s="1"/>
  <c r="DB61" i="2"/>
  <c r="L60" i="2"/>
  <c r="BM66" i="2"/>
  <c r="CA67" i="2"/>
  <c r="CC67" i="2" s="1"/>
  <c r="BZ71" i="2"/>
  <c r="BZ67" i="2"/>
  <c r="BZ66" i="2"/>
  <c r="L64" i="2"/>
  <c r="BN61" i="2"/>
  <c r="CA61" i="2"/>
  <c r="L21" i="1"/>
  <c r="J59" i="2"/>
  <c r="CN68" i="2"/>
  <c r="AX61" i="2"/>
  <c r="DD61" i="2"/>
  <c r="DG61" i="2" s="1"/>
  <c r="CA62" i="2"/>
  <c r="CC62" i="2" s="1"/>
  <c r="BZ72" i="2"/>
  <c r="J64" i="2"/>
  <c r="AW61" i="2"/>
  <c r="M65" i="2"/>
  <c r="P65" i="2" s="1"/>
  <c r="BN62" i="2"/>
  <c r="AW62" i="2"/>
  <c r="CA72" i="2"/>
  <c r="CN69" i="2"/>
  <c r="CP69" i="2" s="1"/>
  <c r="BM62" i="2"/>
  <c r="BP62" i="2" s="1"/>
  <c r="L59" i="2"/>
  <c r="J65" i="2"/>
  <c r="J60" i="2"/>
  <c r="O60" i="2" s="1"/>
  <c r="BM72" i="2"/>
  <c r="CA71" i="2"/>
  <c r="L20" i="1"/>
  <c r="M64" i="2"/>
  <c r="P64" i="2" s="1"/>
  <c r="AY62" i="2"/>
  <c r="BB62" i="2" s="1"/>
  <c r="BN71" i="2"/>
  <c r="K60" i="2"/>
  <c r="K59" i="2"/>
  <c r="CA66" i="2"/>
  <c r="AX62" i="2"/>
  <c r="CN61" i="2"/>
  <c r="CP61" i="2" s="1"/>
  <c r="M59" i="2"/>
  <c r="P59" i="2" s="1"/>
  <c r="AV62" i="2"/>
  <c r="BN67" i="2"/>
  <c r="DA61" i="2"/>
  <c r="DF61" i="2" s="1"/>
  <c r="DC60" i="2"/>
  <c r="CP68" i="2"/>
  <c r="AU9" i="2"/>
  <c r="AV96" i="2"/>
  <c r="BA96" i="2" s="1"/>
  <c r="AV42" i="2"/>
  <c r="BA42" i="2" s="1"/>
  <c r="AX96" i="2"/>
  <c r="AX42" i="2"/>
  <c r="AX43" i="2"/>
  <c r="O93" i="2"/>
  <c r="X93" i="2"/>
  <c r="AG93" i="2" s="1"/>
  <c r="AL93" i="2" s="1"/>
  <c r="L93" i="2"/>
  <c r="AB93" i="2"/>
  <c r="AI93" i="2" s="1"/>
  <c r="AD102" i="2"/>
  <c r="AI102" i="2" s="1"/>
  <c r="AL102" i="2" s="1"/>
  <c r="AN102" i="2" s="1"/>
  <c r="AN11" i="2" s="1"/>
  <c r="AC11" i="2" s="1"/>
  <c r="AD98" i="2"/>
  <c r="AI98" i="2" s="1"/>
  <c r="AL98" i="2" s="1"/>
  <c r="AN98" i="2" s="1"/>
  <c r="AN7" i="2" s="1"/>
  <c r="AC7" i="2" s="1"/>
  <c r="AD99" i="2"/>
  <c r="AI99" i="2" s="1"/>
  <c r="AL99" i="2" s="1"/>
  <c r="AN99" i="2" s="1"/>
  <c r="AN8" i="2" s="1"/>
  <c r="AD97" i="2"/>
  <c r="AI97" i="2" s="1"/>
  <c r="AL97" i="2" s="1"/>
  <c r="AN97" i="2" s="1"/>
  <c r="AN6" i="2" s="1"/>
  <c r="AD100" i="2"/>
  <c r="AI100" i="2" s="1"/>
  <c r="AL100" i="2" s="1"/>
  <c r="AN100" i="2" s="1"/>
  <c r="AN9" i="2" s="1"/>
  <c r="AC9" i="2" s="1"/>
  <c r="AD106" i="2"/>
  <c r="AI106" i="2" s="1"/>
  <c r="AL106" i="2" s="1"/>
  <c r="AN106" i="2" s="1"/>
  <c r="AN15" i="2" s="1"/>
  <c r="AC15" i="2" s="1"/>
  <c r="AD95" i="2"/>
  <c r="AI95" i="2" s="1"/>
  <c r="AL95" i="2" s="1"/>
  <c r="AN95" i="2" s="1"/>
  <c r="AN4" i="2" s="1"/>
  <c r="AC4" i="2" s="1"/>
  <c r="AD105" i="2"/>
  <c r="AI105" i="2" s="1"/>
  <c r="AL105" i="2" s="1"/>
  <c r="AN105" i="2" s="1"/>
  <c r="AN14" i="2" s="1"/>
  <c r="AD104" i="2"/>
  <c r="AI104" i="2" s="1"/>
  <c r="AL104" i="2" s="1"/>
  <c r="AN104" i="2" s="1"/>
  <c r="AN13" i="2" s="1"/>
  <c r="AC13" i="2" s="1"/>
  <c r="AD96" i="2"/>
  <c r="AI96" i="2" s="1"/>
  <c r="AL96" i="2" s="1"/>
  <c r="AN96" i="2" s="1"/>
  <c r="AN5" i="2" s="1"/>
  <c r="AD94" i="2"/>
  <c r="AI94" i="2" s="1"/>
  <c r="AL94" i="2" s="1"/>
  <c r="AN94" i="2" s="1"/>
  <c r="AN3" i="2" s="1"/>
  <c r="AD107" i="2"/>
  <c r="AI107" i="2" s="1"/>
  <c r="AL107" i="2" s="1"/>
  <c r="AD103" i="2"/>
  <c r="AI103" i="2" s="1"/>
  <c r="AL103" i="2" s="1"/>
  <c r="AN103" i="2" s="1"/>
  <c r="AN12" i="2" s="1"/>
  <c r="AC12" i="2" s="1"/>
  <c r="AD101" i="2"/>
  <c r="AI101" i="2" s="1"/>
  <c r="AL101" i="2" s="1"/>
  <c r="AN101" i="2" s="1"/>
  <c r="AN10" i="2" s="1"/>
  <c r="AC10" i="2" s="1"/>
  <c r="AU7" i="2"/>
  <c r="AA21" i="2"/>
  <c r="AE21" i="2"/>
  <c r="AJ21" i="2" s="1"/>
  <c r="AM107" i="2"/>
  <c r="AA57" i="2"/>
  <c r="AE57" i="2"/>
  <c r="AJ57" i="2" s="1"/>
  <c r="Q60" i="2" l="1"/>
  <c r="AB11" i="2"/>
  <c r="AX44" i="2"/>
  <c r="BA44" i="2" s="1"/>
  <c r="BC44" i="2" s="1"/>
  <c r="AV44" i="2"/>
  <c r="BA61" i="2"/>
  <c r="Z16" i="2"/>
  <c r="AC5" i="2"/>
  <c r="AA4" i="2"/>
  <c r="F5" i="1"/>
  <c r="AU8" i="2"/>
  <c r="F3" i="1"/>
  <c r="K28" i="2"/>
  <c r="I39" i="1"/>
  <c r="Z5" i="2"/>
  <c r="Z10" i="2"/>
  <c r="AJ31" i="2"/>
  <c r="Z8" i="2"/>
  <c r="AA7" i="2"/>
  <c r="Z75" i="2"/>
  <c r="AD75" i="2"/>
  <c r="AA9" i="2"/>
  <c r="AN61" i="2"/>
  <c r="AJ6" i="2" s="1"/>
  <c r="AA6" i="2" s="1"/>
  <c r="AJ30" i="2"/>
  <c r="AJ22" i="2"/>
  <c r="BY30" i="2"/>
  <c r="C38" i="1"/>
  <c r="AJ28" i="2"/>
  <c r="AJ34" i="2"/>
  <c r="B27" i="2"/>
  <c r="I23" i="2" s="1"/>
  <c r="I28" i="2" s="1"/>
  <c r="CR68" i="2"/>
  <c r="CM9" i="2" s="1"/>
  <c r="CM10" i="2" s="1"/>
  <c r="AC14" i="2"/>
  <c r="AC6" i="2"/>
  <c r="AV97" i="2"/>
  <c r="BP67" i="2"/>
  <c r="BP71" i="2"/>
  <c r="CC71" i="2"/>
  <c r="K23" i="2"/>
  <c r="AU5" i="2"/>
  <c r="AW4" i="2"/>
  <c r="M28" i="2"/>
  <c r="P28" i="2" s="1"/>
  <c r="AU3" i="2"/>
  <c r="M23" i="2"/>
  <c r="P23" i="2" s="1"/>
  <c r="AX97" i="2"/>
  <c r="BA97" i="2" s="1"/>
  <c r="BC97" i="2" s="1"/>
  <c r="L101" i="2"/>
  <c r="BP66" i="2"/>
  <c r="L100" i="2"/>
  <c r="AC3" i="2"/>
  <c r="AC17" i="2" s="1"/>
  <c r="AX9" i="2" s="1"/>
  <c r="AC8" i="2"/>
  <c r="AX98" i="2"/>
  <c r="CC66" i="2"/>
  <c r="CE66" i="2" s="1"/>
  <c r="BZ9" i="2" s="1"/>
  <c r="BZ10" i="2" s="1"/>
  <c r="CN50" i="2"/>
  <c r="BZ49" i="2"/>
  <c r="CA54" i="2"/>
  <c r="CA43" i="2"/>
  <c r="CA53" i="2"/>
  <c r="DB43" i="2"/>
  <c r="CM43" i="2"/>
  <c r="K41" i="2"/>
  <c r="DD42" i="2"/>
  <c r="DG42" i="2" s="1"/>
  <c r="BN53" i="2"/>
  <c r="BN44" i="2"/>
  <c r="J46" i="2"/>
  <c r="L47" i="2"/>
  <c r="BN48" i="2"/>
  <c r="H6" i="2"/>
  <c r="I6" i="2" s="1"/>
  <c r="F15" i="1" s="1"/>
  <c r="K42" i="2"/>
  <c r="K47" i="2"/>
  <c r="DC43" i="2"/>
  <c r="CM50" i="2"/>
  <c r="AW43" i="2"/>
  <c r="DC42" i="2"/>
  <c r="BZ53" i="2"/>
  <c r="CN44" i="2"/>
  <c r="J47" i="2"/>
  <c r="M41" i="2"/>
  <c r="P41" i="2" s="1"/>
  <c r="F16" i="1"/>
  <c r="BM44" i="2"/>
  <c r="DD43" i="2"/>
  <c r="DG43" i="2" s="1"/>
  <c r="J42" i="2"/>
  <c r="AY44" i="2"/>
  <c r="BB44" i="2" s="1"/>
  <c r="DA43" i="2"/>
  <c r="DF43" i="2" s="1"/>
  <c r="DN40" i="2"/>
  <c r="DL6" i="2" s="1"/>
  <c r="DL7" i="2" s="1"/>
  <c r="J41" i="2"/>
  <c r="T6" i="2"/>
  <c r="CM44" i="2"/>
  <c r="CN51" i="2"/>
  <c r="DB42" i="2"/>
  <c r="BZ44" i="2"/>
  <c r="M42" i="2"/>
  <c r="P42" i="2" s="1"/>
  <c r="AY43" i="2"/>
  <c r="BB43" i="2" s="1"/>
  <c r="L46" i="2"/>
  <c r="BN54" i="2"/>
  <c r="O6" i="2"/>
  <c r="CA44" i="2"/>
  <c r="CC44" i="2" s="1"/>
  <c r="DA42" i="2"/>
  <c r="DF42" i="2" s="1"/>
  <c r="L41" i="2"/>
  <c r="BM53" i="2"/>
  <c r="BZ48" i="2"/>
  <c r="J6" i="2"/>
  <c r="L6" i="2" s="1"/>
  <c r="I15" i="1" s="1"/>
  <c r="M46" i="2"/>
  <c r="P46" i="2" s="1"/>
  <c r="BM48" i="2"/>
  <c r="BM49" i="2"/>
  <c r="BM43" i="2"/>
  <c r="AW44" i="2"/>
  <c r="BN49" i="2"/>
  <c r="K46" i="2"/>
  <c r="BZ54" i="2"/>
  <c r="BZ43" i="2"/>
  <c r="BM54" i="2"/>
  <c r="L42" i="2"/>
  <c r="CA49" i="2"/>
  <c r="CC49" i="2" s="1"/>
  <c r="L16" i="1"/>
  <c r="L15" i="1"/>
  <c r="M47" i="2"/>
  <c r="P47" i="2" s="1"/>
  <c r="BN43" i="2"/>
  <c r="BP43" i="2" s="1"/>
  <c r="CN43" i="2"/>
  <c r="CP43" i="2" s="1"/>
  <c r="CA48" i="2"/>
  <c r="CM51" i="2"/>
  <c r="BZ30" i="2"/>
  <c r="L9" i="1"/>
  <c r="BZ35" i="2"/>
  <c r="DC24" i="2"/>
  <c r="AX25" i="2"/>
  <c r="CA26" i="2"/>
  <c r="BN25" i="2"/>
  <c r="CA31" i="2"/>
  <c r="BN36" i="2"/>
  <c r="AY25" i="2"/>
  <c r="DC25" i="2"/>
  <c r="BN35" i="2"/>
  <c r="CN33" i="2"/>
  <c r="CN32" i="2"/>
  <c r="O4" i="2"/>
  <c r="BM25" i="2"/>
  <c r="BN30" i="2"/>
  <c r="DN22" i="2"/>
  <c r="DK6" i="2" s="1"/>
  <c r="DK7" i="2" s="1"/>
  <c r="DB25" i="2"/>
  <c r="DA24" i="2"/>
  <c r="DF24" i="2" s="1"/>
  <c r="AY26" i="2"/>
  <c r="AV26" i="2"/>
  <c r="T4" i="2"/>
  <c r="L10" i="1"/>
  <c r="M24" i="2"/>
  <c r="BZ26" i="2"/>
  <c r="CC26" i="2" s="1"/>
  <c r="DD24" i="2"/>
  <c r="DG24" i="2" s="1"/>
  <c r="DB24" i="2"/>
  <c r="CN26" i="2"/>
  <c r="CA30" i="2"/>
  <c r="AW26" i="2"/>
  <c r="CN25" i="2"/>
  <c r="DD25" i="2"/>
  <c r="DG25" i="2" s="1"/>
  <c r="CA35" i="2"/>
  <c r="CM25" i="2"/>
  <c r="CM26" i="2"/>
  <c r="AX26" i="2"/>
  <c r="CM33" i="2"/>
  <c r="AW25" i="2"/>
  <c r="BM36" i="2"/>
  <c r="CM32" i="2"/>
  <c r="BM26" i="2"/>
  <c r="K29" i="2"/>
  <c r="P29" i="2" s="1"/>
  <c r="CA36" i="2"/>
  <c r="BM35" i="2"/>
  <c r="AV25" i="2"/>
  <c r="BZ31" i="2"/>
  <c r="BM31" i="2"/>
  <c r="BN26" i="2"/>
  <c r="BZ25" i="2"/>
  <c r="F10" i="1"/>
  <c r="DA25" i="2"/>
  <c r="BZ36" i="2"/>
  <c r="CA25" i="2"/>
  <c r="CC25" i="2" s="1"/>
  <c r="CE25" i="2" s="1"/>
  <c r="BX4" i="2" s="1"/>
  <c r="BX5" i="2" s="1"/>
  <c r="BN31" i="2"/>
  <c r="BM30" i="2"/>
  <c r="K24" i="2"/>
  <c r="CE61" i="2"/>
  <c r="BZ4" i="2" s="1"/>
  <c r="BZ5" i="2" s="1"/>
  <c r="BA62" i="2"/>
  <c r="BC62" i="2" s="1"/>
  <c r="BP61" i="2"/>
  <c r="AH24" i="2"/>
  <c r="AH26" i="2"/>
  <c r="AM26" i="2" s="1"/>
  <c r="AW8" i="2"/>
  <c r="AW5" i="2"/>
  <c r="AJ23" i="2"/>
  <c r="AH27" i="2"/>
  <c r="AM27" i="2" s="1"/>
  <c r="AW7" i="2"/>
  <c r="AH23" i="2"/>
  <c r="AH30" i="2"/>
  <c r="AM30" i="2" s="1"/>
  <c r="AH25" i="2"/>
  <c r="AM25" i="2" s="1"/>
  <c r="AH28" i="2"/>
  <c r="AM28" i="2" s="1"/>
  <c r="AD35" i="2"/>
  <c r="AD27" i="2"/>
  <c r="AD22" i="2"/>
  <c r="AD33" i="2"/>
  <c r="AD32" i="2"/>
  <c r="AD30" i="2"/>
  <c r="AD23" i="2"/>
  <c r="AD24" i="2"/>
  <c r="AD29" i="2"/>
  <c r="AD25" i="2"/>
  <c r="AD31" i="2"/>
  <c r="AD26" i="2"/>
  <c r="AD28" i="2"/>
  <c r="AD34" i="2"/>
  <c r="L29" i="2"/>
  <c r="L28" i="2"/>
  <c r="AJ29" i="2"/>
  <c r="AJ24" i="2"/>
  <c r="AM24" i="2" s="1"/>
  <c r="AH33" i="2"/>
  <c r="AM33" i="2" s="1"/>
  <c r="AH31" i="2"/>
  <c r="AM31" i="2" s="1"/>
  <c r="AH29" i="2"/>
  <c r="AM29" i="2" s="1"/>
  <c r="AH34" i="2"/>
  <c r="AM34" i="2" s="1"/>
  <c r="Z26" i="2"/>
  <c r="Z23" i="2"/>
  <c r="Z24" i="2"/>
  <c r="Z33" i="2"/>
  <c r="Z22" i="2"/>
  <c r="Z27" i="2"/>
  <c r="Z29" i="2"/>
  <c r="Z34" i="2"/>
  <c r="Z31" i="2"/>
  <c r="Z30" i="2"/>
  <c r="Z32" i="2"/>
  <c r="Z25" i="2"/>
  <c r="Z28" i="2"/>
  <c r="Z35" i="2"/>
  <c r="L23" i="2"/>
  <c r="L24" i="2"/>
  <c r="AB25" i="2"/>
  <c r="AB31" i="2"/>
  <c r="AB30" i="2"/>
  <c r="AB34" i="2"/>
  <c r="AB24" i="2"/>
  <c r="AB27" i="2"/>
  <c r="AB22" i="2"/>
  <c r="AB28" i="2"/>
  <c r="AB33" i="2"/>
  <c r="AB29" i="2"/>
  <c r="AB32" i="2"/>
  <c r="AI32" i="2" s="1"/>
  <c r="AB26" i="2"/>
  <c r="AB23" i="2"/>
  <c r="AB35" i="2"/>
  <c r="J29" i="2"/>
  <c r="J28" i="2"/>
  <c r="AH22" i="2"/>
  <c r="AM22" i="2" s="1"/>
  <c r="AH32" i="2"/>
  <c r="AM32" i="2" s="1"/>
  <c r="X26" i="2"/>
  <c r="X30" i="2"/>
  <c r="X27" i="2"/>
  <c r="X33" i="2"/>
  <c r="X22" i="2"/>
  <c r="X32" i="2"/>
  <c r="X31" i="2"/>
  <c r="AG31" i="2" s="1"/>
  <c r="X35" i="2"/>
  <c r="X23" i="2"/>
  <c r="X29" i="2"/>
  <c r="X28" i="2"/>
  <c r="AG28" i="2" s="1"/>
  <c r="X34" i="2"/>
  <c r="X25" i="2"/>
  <c r="X24" i="2"/>
  <c r="J23" i="2"/>
  <c r="J24" i="2"/>
  <c r="AH35" i="2"/>
  <c r="AM35" i="2" s="1"/>
  <c r="AW9" i="2"/>
  <c r="F31" i="1"/>
  <c r="BN98" i="2"/>
  <c r="CM105" i="2"/>
  <c r="M101" i="2"/>
  <c r="P101" i="2" s="1"/>
  <c r="L95" i="2"/>
  <c r="M100" i="2"/>
  <c r="P100" i="2" s="1"/>
  <c r="BM108" i="2"/>
  <c r="BZ107" i="2"/>
  <c r="CA108" i="2"/>
  <c r="BM97" i="2"/>
  <c r="CA103" i="2"/>
  <c r="CA102" i="2"/>
  <c r="T12" i="2"/>
  <c r="L31" i="1"/>
  <c r="CA107" i="2"/>
  <c r="DN94" i="2"/>
  <c r="DO6" i="2" s="1"/>
  <c r="DO7" i="2" s="1"/>
  <c r="DC96" i="2"/>
  <c r="J100" i="2"/>
  <c r="BN97" i="2"/>
  <c r="BZ103" i="2"/>
  <c r="BN102" i="2"/>
  <c r="AY98" i="2"/>
  <c r="BB98" i="2" s="1"/>
  <c r="BM107" i="2"/>
  <c r="DD96" i="2"/>
  <c r="DG96" i="2" s="1"/>
  <c r="DB97" i="2"/>
  <c r="O12" i="2"/>
  <c r="AY97" i="2"/>
  <c r="BB97" i="2" s="1"/>
  <c r="BN103" i="2"/>
  <c r="CA98" i="2"/>
  <c r="DC97" i="2"/>
  <c r="CM104" i="2"/>
  <c r="DD97" i="2"/>
  <c r="DG97" i="2" s="1"/>
  <c r="BM98" i="2"/>
  <c r="BZ97" i="2"/>
  <c r="J95" i="2"/>
  <c r="CA97" i="2"/>
  <c r="K101" i="2"/>
  <c r="H12" i="2"/>
  <c r="CN105" i="2"/>
  <c r="CP105" i="2" s="1"/>
  <c r="BM103" i="2"/>
  <c r="BN108" i="2"/>
  <c r="K96" i="2"/>
  <c r="DA96" i="2"/>
  <c r="DF96" i="2" s="1"/>
  <c r="J12" i="2"/>
  <c r="J13" i="2" s="1"/>
  <c r="M96" i="2"/>
  <c r="P96" i="2" s="1"/>
  <c r="CN98" i="2"/>
  <c r="CM98" i="2"/>
  <c r="BM102" i="2"/>
  <c r="BZ108" i="2"/>
  <c r="CN97" i="2"/>
  <c r="AW98" i="2"/>
  <c r="K95" i="2"/>
  <c r="CN104" i="2"/>
  <c r="K100" i="2"/>
  <c r="L96" i="2"/>
  <c r="BZ98" i="2"/>
  <c r="M95" i="2"/>
  <c r="P95" i="2" s="1"/>
  <c r="J96" i="2"/>
  <c r="CM97" i="2"/>
  <c r="L30" i="1"/>
  <c r="DB96" i="2"/>
  <c r="DA97" i="2"/>
  <c r="DF97" i="2" s="1"/>
  <c r="AW97" i="2"/>
  <c r="BZ102" i="2"/>
  <c r="BN107" i="2"/>
  <c r="J101" i="2"/>
  <c r="O101" i="2" s="1"/>
  <c r="CA84" i="2"/>
  <c r="BM79" i="2"/>
  <c r="J82" i="2"/>
  <c r="CM87" i="2"/>
  <c r="BN80" i="2"/>
  <c r="BZ85" i="2"/>
  <c r="M82" i="2"/>
  <c r="P82" i="2" s="1"/>
  <c r="DB78" i="2"/>
  <c r="K77" i="2"/>
  <c r="CN79" i="2"/>
  <c r="J83" i="2"/>
  <c r="M77" i="2"/>
  <c r="P77" i="2" s="1"/>
  <c r="BN84" i="2"/>
  <c r="K83" i="2"/>
  <c r="M78" i="2"/>
  <c r="P78" i="2" s="1"/>
  <c r="L26" i="1"/>
  <c r="DD78" i="2"/>
  <c r="DG78" i="2" s="1"/>
  <c r="BZ89" i="2"/>
  <c r="CN87" i="2"/>
  <c r="BZ90" i="2"/>
  <c r="BZ80" i="2"/>
  <c r="BZ84" i="2"/>
  <c r="O10" i="2"/>
  <c r="M83" i="2"/>
  <c r="P83" i="2" s="1"/>
  <c r="CM86" i="2"/>
  <c r="AY79" i="2"/>
  <c r="BB79" i="2" s="1"/>
  <c r="CA89" i="2"/>
  <c r="CC89" i="2" s="1"/>
  <c r="F26" i="1"/>
  <c r="J78" i="2"/>
  <c r="CA79" i="2"/>
  <c r="BZ79" i="2"/>
  <c r="CA80" i="2"/>
  <c r="BN79" i="2"/>
  <c r="K78" i="2"/>
  <c r="CA85" i="2"/>
  <c r="CN86" i="2"/>
  <c r="AV80" i="2"/>
  <c r="L25" i="1"/>
  <c r="DD79" i="2"/>
  <c r="DG79" i="2" s="1"/>
  <c r="AV79" i="2"/>
  <c r="BM80" i="2"/>
  <c r="J77" i="2"/>
  <c r="AW80" i="2"/>
  <c r="BN90" i="2"/>
  <c r="DA79" i="2"/>
  <c r="DA78" i="2"/>
  <c r="DC78" i="2"/>
  <c r="J10" i="2"/>
  <c r="L10" i="2" s="1"/>
  <c r="I25" i="1" s="1"/>
  <c r="L83" i="2"/>
  <c r="DB79" i="2"/>
  <c r="H10" i="2"/>
  <c r="I10" i="2" s="1"/>
  <c r="AY80" i="2"/>
  <c r="BB80" i="2" s="1"/>
  <c r="K82" i="2"/>
  <c r="CA90" i="2"/>
  <c r="DN76" i="2"/>
  <c r="DN6" i="2" s="1"/>
  <c r="DN7" i="2" s="1"/>
  <c r="CM79" i="2"/>
  <c r="BM89" i="2"/>
  <c r="DC79" i="2"/>
  <c r="BN85" i="2"/>
  <c r="BN89" i="2"/>
  <c r="CN80" i="2"/>
  <c r="CM80" i="2"/>
  <c r="T10" i="2"/>
  <c r="BM90" i="2"/>
  <c r="AW79" i="2"/>
  <c r="L77" i="2"/>
  <c r="L78" i="2"/>
  <c r="AX80" i="2"/>
  <c r="L82" i="2"/>
  <c r="BM84" i="2"/>
  <c r="AX79" i="2"/>
  <c r="BM85" i="2"/>
  <c r="O64" i="2"/>
  <c r="Q64" i="2" s="1"/>
  <c r="BC61" i="2"/>
  <c r="O100" i="2"/>
  <c r="Q100" i="2" s="1"/>
  <c r="O59" i="2"/>
  <c r="Q59" i="2" s="1"/>
  <c r="BP72" i="2"/>
  <c r="BR71" i="2" s="1"/>
  <c r="BM14" i="2" s="1"/>
  <c r="BM15" i="2" s="1"/>
  <c r="I20" i="1"/>
  <c r="AV9" i="2"/>
  <c r="AV7" i="2"/>
  <c r="AV4" i="2"/>
  <c r="AV8" i="2"/>
  <c r="AV3" i="2"/>
  <c r="O65" i="2"/>
  <c r="Q65" i="2" s="1"/>
  <c r="S60" i="2" s="1"/>
  <c r="CC72" i="2"/>
  <c r="CE71" i="2" s="1"/>
  <c r="BZ14" i="2" s="1"/>
  <c r="BZ15" i="2" s="1"/>
  <c r="DH61" i="2"/>
  <c r="DH60" i="2"/>
  <c r="DJ60" i="2" s="1"/>
  <c r="DB6" i="2" s="1"/>
  <c r="DB7" i="2" s="1"/>
  <c r="BA43" i="2"/>
  <c r="BC43" i="2" s="1"/>
  <c r="F20" i="1"/>
  <c r="DF60" i="2"/>
  <c r="BR66" i="2"/>
  <c r="BM9" i="2" s="1"/>
  <c r="BM10" i="2" s="1"/>
  <c r="CR61" i="2"/>
  <c r="CM4" i="2" s="1"/>
  <c r="CM5" i="2" s="1"/>
  <c r="BR61" i="2"/>
  <c r="BM4" i="2" s="1"/>
  <c r="BM5" i="2" s="1"/>
  <c r="BA98" i="2"/>
  <c r="AN107" i="2"/>
  <c r="AN16" i="2" s="1"/>
  <c r="AC16" i="2" s="1"/>
  <c r="Z93" i="2"/>
  <c r="AD93" i="2"/>
  <c r="BA80" i="2" l="1"/>
  <c r="BC80" i="2" s="1"/>
  <c r="CP86" i="2"/>
  <c r="CC80" i="2"/>
  <c r="L12" i="2"/>
  <c r="I30" i="1" s="1"/>
  <c r="DH96" i="2"/>
  <c r="CC107" i="2"/>
  <c r="O47" i="2"/>
  <c r="BP89" i="2"/>
  <c r="DH24" i="2"/>
  <c r="O95" i="2"/>
  <c r="Q101" i="2"/>
  <c r="AI27" i="2"/>
  <c r="BP31" i="2"/>
  <c r="BP48" i="2"/>
  <c r="AG25" i="2"/>
  <c r="AG23" i="2"/>
  <c r="AI22" i="2"/>
  <c r="AI30" i="2"/>
  <c r="AM23" i="2"/>
  <c r="AW11" i="2"/>
  <c r="AG34" i="2"/>
  <c r="AI35" i="2"/>
  <c r="AI29" i="2"/>
  <c r="AI33" i="2"/>
  <c r="AI24" i="2"/>
  <c r="AU11" i="2"/>
  <c r="AU12" i="2" s="1"/>
  <c r="BE97" i="2"/>
  <c r="AX15" i="2" s="1"/>
  <c r="AX16" i="2" s="1"/>
  <c r="BC98" i="2"/>
  <c r="BE61" i="2"/>
  <c r="AV15" i="2" s="1"/>
  <c r="AV16" i="2" s="1"/>
  <c r="BP84" i="2"/>
  <c r="O41" i="2"/>
  <c r="Q41" i="2" s="1"/>
  <c r="BP49" i="2"/>
  <c r="DH43" i="2"/>
  <c r="CC53" i="2"/>
  <c r="CC43" i="2"/>
  <c r="CE43" i="2" s="1"/>
  <c r="BY4" i="2" s="1"/>
  <c r="BY5" i="2" s="1"/>
  <c r="CP33" i="2"/>
  <c r="P24" i="2"/>
  <c r="DF25" i="2"/>
  <c r="DH25" i="2" s="1"/>
  <c r="DJ24" i="2" s="1"/>
  <c r="CZ6" i="2" s="1"/>
  <c r="CZ7" i="2" s="1"/>
  <c r="CC36" i="2"/>
  <c r="T5" i="2"/>
  <c r="E15" i="2"/>
  <c r="E14" i="2"/>
  <c r="O5" i="2"/>
  <c r="BP25" i="2"/>
  <c r="CC48" i="2"/>
  <c r="CE48" i="2" s="1"/>
  <c r="BY9" i="2" s="1"/>
  <c r="BY10" i="2" s="1"/>
  <c r="BR48" i="2"/>
  <c r="BL9" i="2" s="1"/>
  <c r="BL10" i="2" s="1"/>
  <c r="CP44" i="2"/>
  <c r="CR43" i="2" s="1"/>
  <c r="CL4" i="2" s="1"/>
  <c r="CL5" i="2" s="1"/>
  <c r="O46" i="2"/>
  <c r="BP79" i="2"/>
  <c r="CC97" i="2"/>
  <c r="BA25" i="2"/>
  <c r="BP26" i="2"/>
  <c r="CC35" i="2"/>
  <c r="CC30" i="2"/>
  <c r="BA26" i="2"/>
  <c r="CP32" i="2"/>
  <c r="BB25" i="2"/>
  <c r="Q46" i="2"/>
  <c r="S41" i="2" s="1"/>
  <c r="BP54" i="2"/>
  <c r="BP44" i="2"/>
  <c r="BR43" i="2" s="1"/>
  <c r="BL4" i="2" s="1"/>
  <c r="BL5" i="2" s="1"/>
  <c r="CC54" i="2"/>
  <c r="BP97" i="2"/>
  <c r="CP26" i="2"/>
  <c r="BB26" i="2"/>
  <c r="BP30" i="2"/>
  <c r="BR30" i="2" s="1"/>
  <c r="BK9" i="2" s="1"/>
  <c r="BK10" i="2" s="1"/>
  <c r="BP36" i="2"/>
  <c r="O42" i="2"/>
  <c r="Q42" i="2" s="1"/>
  <c r="BP53" i="2"/>
  <c r="BR53" i="2" s="1"/>
  <c r="BL14" i="2" s="1"/>
  <c r="BL15" i="2" s="1"/>
  <c r="CP25" i="2"/>
  <c r="BP35" i="2"/>
  <c r="CC31" i="2"/>
  <c r="CP51" i="2"/>
  <c r="Q47" i="2"/>
  <c r="DH42" i="2"/>
  <c r="DJ42" i="2" s="1"/>
  <c r="DA6" i="2" s="1"/>
  <c r="DA7" i="2" s="1"/>
  <c r="CE53" i="2"/>
  <c r="BY14" i="2" s="1"/>
  <c r="BY15" i="2" s="1"/>
  <c r="CP50" i="2"/>
  <c r="BE43" i="2"/>
  <c r="AU15" i="2" s="1"/>
  <c r="AU16" i="2" s="1"/>
  <c r="BA79" i="2"/>
  <c r="BC79" i="2" s="1"/>
  <c r="BE79" i="2" s="1"/>
  <c r="AW15" i="2" s="1"/>
  <c r="AW16" i="2" s="1"/>
  <c r="CP87" i="2"/>
  <c r="CR86" i="2" s="1"/>
  <c r="CN9" i="2" s="1"/>
  <c r="CN10" i="2" s="1"/>
  <c r="O83" i="2"/>
  <c r="O82" i="2"/>
  <c r="Q82" i="2" s="1"/>
  <c r="DH97" i="2"/>
  <c r="DJ96" i="2" s="1"/>
  <c r="DD6" i="2" s="1"/>
  <c r="DD7" i="2" s="1"/>
  <c r="O96" i="2"/>
  <c r="Q96" i="2" s="1"/>
  <c r="S96" i="2" s="1"/>
  <c r="CC90" i="2"/>
  <c r="CE89" i="2" s="1"/>
  <c r="CA14" i="2" s="1"/>
  <c r="CA15" i="2" s="1"/>
  <c r="O29" i="2"/>
  <c r="Q29" i="2" s="1"/>
  <c r="O24" i="2"/>
  <c r="O23" i="2"/>
  <c r="Q23" i="2" s="1"/>
  <c r="AG27" i="2"/>
  <c r="AL27" i="2" s="1"/>
  <c r="AN27" i="2" s="1"/>
  <c r="AI23" i="2"/>
  <c r="AL23" i="2" s="1"/>
  <c r="AI25" i="2"/>
  <c r="O28" i="2"/>
  <c r="Q28" i="2" s="1"/>
  <c r="AG22" i="2"/>
  <c r="AL22" i="2" s="1"/>
  <c r="AN22" i="2" s="1"/>
  <c r="AG26" i="2"/>
  <c r="AV11" i="2"/>
  <c r="AG24" i="2"/>
  <c r="AL24" i="2" s="1"/>
  <c r="AN24" i="2" s="1"/>
  <c r="AG29" i="2"/>
  <c r="AL29" i="2" s="1"/>
  <c r="AN29" i="2" s="1"/>
  <c r="AG32" i="2"/>
  <c r="AL32" i="2" s="1"/>
  <c r="AN32" i="2" s="1"/>
  <c r="AG30" i="2"/>
  <c r="AI28" i="2"/>
  <c r="AL28" i="2" s="1"/>
  <c r="AN28" i="2" s="1"/>
  <c r="AI34" i="2"/>
  <c r="AG33" i="2"/>
  <c r="AL33" i="2" s="1"/>
  <c r="AN33" i="2" s="1"/>
  <c r="AI26" i="2"/>
  <c r="AI31" i="2"/>
  <c r="AL31" i="2" s="1"/>
  <c r="AN31" i="2" s="1"/>
  <c r="AG35" i="2"/>
  <c r="F25" i="1"/>
  <c r="DF78" i="2"/>
  <c r="DH78" i="2" s="1"/>
  <c r="CC79" i="2"/>
  <c r="CE79" i="2" s="1"/>
  <c r="CA4" i="2" s="1"/>
  <c r="CA5" i="2" s="1"/>
  <c r="CC85" i="2"/>
  <c r="CC103" i="2"/>
  <c r="S59" i="2"/>
  <c r="T59" i="2" s="1"/>
  <c r="O77" i="2"/>
  <c r="Q77" i="2" s="1"/>
  <c r="CP79" i="2"/>
  <c r="CP80" i="2"/>
  <c r="DF79" i="2"/>
  <c r="DH79" i="2" s="1"/>
  <c r="O78" i="2"/>
  <c r="Q78" i="2" s="1"/>
  <c r="BP80" i="2"/>
  <c r="BP107" i="2"/>
  <c r="Q95" i="2"/>
  <c r="S95" i="2" s="1"/>
  <c r="CP104" i="2"/>
  <c r="CR104" i="2" s="1"/>
  <c r="CO9" i="2" s="1"/>
  <c r="CO10" i="2" s="1"/>
  <c r="CP97" i="2"/>
  <c r="CP98" i="2"/>
  <c r="I12" i="2"/>
  <c r="F30" i="1" s="1"/>
  <c r="H13" i="2"/>
  <c r="F17" i="2"/>
  <c r="O13" i="2"/>
  <c r="E17" i="2"/>
  <c r="BP98" i="2"/>
  <c r="BR97" i="2" s="1"/>
  <c r="BO4" i="2" s="1"/>
  <c r="BO5" i="2" s="1"/>
  <c r="BP85" i="2"/>
  <c r="BP90" i="2"/>
  <c r="BR89" i="2" s="1"/>
  <c r="BN14" i="2" s="1"/>
  <c r="BN15" i="2" s="1"/>
  <c r="Q83" i="2"/>
  <c r="CC84" i="2"/>
  <c r="BP108" i="2"/>
  <c r="CC98" i="2"/>
  <c r="BP102" i="2"/>
  <c r="E18" i="2"/>
  <c r="T13" i="2"/>
  <c r="CC108" i="2"/>
  <c r="CE107" i="2" s="1"/>
  <c r="CB14" i="2" s="1"/>
  <c r="CB15" i="2" s="1"/>
  <c r="BP103" i="2"/>
  <c r="CC102" i="2"/>
  <c r="AX8" i="2"/>
  <c r="AX5" i="2"/>
  <c r="AX4" i="2"/>
  <c r="AX3" i="2"/>
  <c r="AX7" i="2"/>
  <c r="AW12" i="2"/>
  <c r="CE102" i="2" l="1"/>
  <c r="CB9" i="2" s="1"/>
  <c r="CB10" i="2" s="1"/>
  <c r="S77" i="2"/>
  <c r="BD8" i="2"/>
  <c r="T95" i="2"/>
  <c r="AN23" i="2"/>
  <c r="CE97" i="2"/>
  <c r="CB4" i="2" s="1"/>
  <c r="CB5" i="2" s="1"/>
  <c r="AL30" i="2"/>
  <c r="AN30" i="2" s="1"/>
  <c r="AF11" i="2" s="1"/>
  <c r="AL25" i="2"/>
  <c r="AN25" i="2" s="1"/>
  <c r="AL35" i="2"/>
  <c r="AN35" i="2" s="1"/>
  <c r="AF16" i="2" s="1"/>
  <c r="AL34" i="2"/>
  <c r="AN34" i="2" s="1"/>
  <c r="AF15" i="2" s="1"/>
  <c r="CE84" i="2"/>
  <c r="CA9" i="2" s="1"/>
  <c r="CA10" i="2" s="1"/>
  <c r="BR84" i="2"/>
  <c r="BN9" i="2" s="1"/>
  <c r="BN10" i="2" s="1"/>
  <c r="CR25" i="2"/>
  <c r="CK4" i="2" s="1"/>
  <c r="CK5" i="2" s="1"/>
  <c r="CE30" i="2"/>
  <c r="BX9" i="2" s="1"/>
  <c r="BX10" i="2" s="1"/>
  <c r="BC25" i="2"/>
  <c r="AV12" i="2"/>
  <c r="BR25" i="2"/>
  <c r="BK4" i="2" s="1"/>
  <c r="BK5" i="2" s="1"/>
  <c r="CE35" i="2"/>
  <c r="BX14" i="2" s="1"/>
  <c r="BX15" i="2" s="1"/>
  <c r="Q24" i="2"/>
  <c r="S24" i="2" s="1"/>
  <c r="BR35" i="2"/>
  <c r="BK14" i="2" s="1"/>
  <c r="BK15" i="2" s="1"/>
  <c r="CR32" i="2"/>
  <c r="CK9" i="2" s="1"/>
  <c r="CK10" i="2" s="1"/>
  <c r="S42" i="2"/>
  <c r="T41" i="2" s="1"/>
  <c r="BR79" i="2"/>
  <c r="BN4" i="2" s="1"/>
  <c r="BN5" i="2" s="1"/>
  <c r="CR50" i="2"/>
  <c r="CL9" i="2" s="1"/>
  <c r="CL10" i="2" s="1"/>
  <c r="BC6" i="2" s="1"/>
  <c r="BC26" i="2"/>
  <c r="CR97" i="2"/>
  <c r="CO4" i="2" s="1"/>
  <c r="CO5" i="2" s="1"/>
  <c r="CR79" i="2"/>
  <c r="CN4" i="2" s="1"/>
  <c r="CN5" i="2" s="1"/>
  <c r="AF14" i="2"/>
  <c r="AF13" i="2"/>
  <c r="AF6" i="2"/>
  <c r="AF10" i="2"/>
  <c r="AF3" i="2"/>
  <c r="Y3" i="2" s="1"/>
  <c r="AF12" i="2"/>
  <c r="AF9" i="2"/>
  <c r="AF5" i="2"/>
  <c r="AF4" i="2"/>
  <c r="Y4" i="2" s="1"/>
  <c r="AF8" i="2"/>
  <c r="BC8" i="2"/>
  <c r="AL26" i="2"/>
  <c r="AN26" i="2" s="1"/>
  <c r="AF7" i="2" s="1"/>
  <c r="S23" i="2"/>
  <c r="DJ78" i="2"/>
  <c r="DC6" i="2" s="1"/>
  <c r="DC7" i="2" s="1"/>
  <c r="BR102" i="2"/>
  <c r="BO9" i="2" s="1"/>
  <c r="BO10" i="2" s="1"/>
  <c r="S78" i="2"/>
  <c r="T77" i="2" s="1"/>
  <c r="BR107" i="2"/>
  <c r="BO14" i="2" s="1"/>
  <c r="BO15" i="2" s="1"/>
  <c r="F18" i="2"/>
  <c r="M31" i="1" s="1"/>
  <c r="AX11" i="2"/>
  <c r="AX12" i="2" s="1"/>
  <c r="BE25" i="2" l="1"/>
  <c r="AT15" i="2" s="1"/>
  <c r="AT16" i="2" s="1"/>
  <c r="BC10" i="2"/>
  <c r="BD10" i="2"/>
  <c r="T23" i="2"/>
  <c r="H4" i="2" s="1"/>
  <c r="H5" i="2" s="1"/>
  <c r="J4" i="2"/>
  <c r="BD6" i="2"/>
  <c r="Y5" i="2"/>
  <c r="Y6" i="2" s="1"/>
  <c r="BC12" i="2"/>
  <c r="BB4" i="2"/>
  <c r="BB12" i="2"/>
  <c r="BB6" i="2"/>
  <c r="BB8" i="2"/>
  <c r="BE8" i="2" s="1"/>
  <c r="M22" i="1" s="1"/>
  <c r="N22" i="1" s="1"/>
  <c r="BB10" i="2"/>
  <c r="BD12" i="2"/>
  <c r="I4" i="2" l="1"/>
  <c r="F9" i="1" s="1"/>
  <c r="BE10" i="2"/>
  <c r="M27" i="1" s="1"/>
  <c r="N27" i="1" s="1"/>
  <c r="BE6" i="2"/>
  <c r="M17" i="1" s="1"/>
  <c r="N17" i="1" s="1"/>
  <c r="J5" i="2"/>
  <c r="F14" i="2" s="1"/>
  <c r="F15" i="2" s="1"/>
  <c r="M10" i="1" s="1"/>
  <c r="L4" i="2"/>
  <c r="Y7" i="2"/>
  <c r="Y8" i="2" s="1"/>
  <c r="BE12" i="2"/>
  <c r="M33" i="1" s="1"/>
  <c r="N33" i="1" s="1"/>
  <c r="I14" i="2" l="1"/>
  <c r="I15" i="2" s="1"/>
  <c r="G36" i="1" s="1"/>
  <c r="I9" i="1"/>
  <c r="L14" i="2"/>
  <c r="Y9" i="2"/>
  <c r="Y10" i="2" s="1"/>
  <c r="Y11" i="2" s="1"/>
  <c r="M32" i="1"/>
  <c r="E36" i="1" l="1"/>
  <c r="L15" i="2"/>
  <c r="G37" i="1" s="1"/>
  <c r="E37" i="1"/>
  <c r="Y12" i="2"/>
  <c r="Y13" i="2" s="1"/>
  <c r="Y14" i="2" s="1"/>
  <c r="Y15" i="2" s="1"/>
  <c r="Y16" i="2" s="1"/>
  <c r="Y17" i="2" s="1"/>
  <c r="I36" i="1"/>
  <c r="C36" i="1"/>
  <c r="I37" i="1" l="1"/>
  <c r="C37" i="1"/>
  <c r="AT4" i="2"/>
  <c r="AT7" i="2"/>
  <c r="AT8" i="2" s="1"/>
  <c r="AT3" i="2"/>
  <c r="AT9" i="2" l="1"/>
  <c r="AT5" i="2"/>
  <c r="AT11" i="2" s="1"/>
  <c r="AT12" i="2" l="1"/>
  <c r="BD4" i="2" s="1"/>
  <c r="BC4" i="2" l="1"/>
  <c r="BE4" i="2" s="1"/>
  <c r="M12" i="1" s="1"/>
  <c r="M11" i="1" l="1"/>
  <c r="N12" i="1"/>
</calcChain>
</file>

<file path=xl/comments1.xml><?xml version="1.0" encoding="utf-8"?>
<comments xmlns="http://schemas.openxmlformats.org/spreadsheetml/2006/main">
  <authors>
    <author>Lance Jones</author>
  </authors>
  <commentList>
    <comment ref="S3" authorId="0">
      <text>
        <r>
          <rPr>
            <b/>
            <sz val="8"/>
            <color indexed="81"/>
            <rFont val="Tahoma"/>
            <family val="2"/>
          </rPr>
          <t xml:space="preserve">Enter Required Giardia Inactivation </t>
        </r>
        <r>
          <rPr>
            <sz val="8"/>
            <color indexed="81"/>
            <rFont val="Tahoma"/>
            <family val="2"/>
          </rPr>
          <t>(Must be greater than Zero and less than or equal to 3.0)</t>
        </r>
      </text>
    </comment>
    <comment ref="S4" authorId="0">
      <text>
        <r>
          <rPr>
            <b/>
            <sz val="8"/>
            <color indexed="81"/>
            <rFont val="Tahoma"/>
            <family val="2"/>
          </rPr>
          <t xml:space="preserve">Enter Required
Virus Inactivation  </t>
        </r>
        <r>
          <rPr>
            <sz val="8"/>
            <color indexed="81"/>
            <rFont val="Tahoma"/>
            <family val="2"/>
          </rPr>
          <t>(Must be greater than Zero and less than or equal to 4.0)</t>
        </r>
        <r>
          <rPr>
            <sz val="8"/>
            <color indexed="81"/>
            <rFont val="Tahoma"/>
            <family val="2"/>
          </rPr>
          <t xml:space="preserve">
</t>
        </r>
      </text>
    </comment>
    <comment ref="C5" authorId="0">
      <text>
        <r>
          <rPr>
            <b/>
            <sz val="8"/>
            <color indexed="81"/>
            <rFont val="Tahoma"/>
            <family val="2"/>
          </rPr>
          <t>Enter maximum plant flow rate (gpm)</t>
        </r>
      </text>
    </comment>
    <comment ref="S5" authorId="0">
      <text>
        <r>
          <rPr>
            <b/>
            <sz val="8"/>
            <color indexed="81"/>
            <rFont val="Tahoma"/>
            <family val="2"/>
          </rPr>
          <t xml:space="preserve">Enter Required
Cryptosporidium Inactivation, if required,  </t>
        </r>
        <r>
          <rPr>
            <sz val="8"/>
            <color indexed="81"/>
            <rFont val="Tahoma"/>
            <family val="2"/>
          </rPr>
          <t>(Must be greater than Zero and less than or equal to 4.0)</t>
        </r>
        <r>
          <rPr>
            <sz val="8"/>
            <color indexed="81"/>
            <rFont val="Tahoma"/>
            <family val="2"/>
          </rPr>
          <t xml:space="preserve">
</t>
        </r>
      </text>
    </comment>
    <comment ref="C6" authorId="0">
      <text>
        <r>
          <rPr>
            <b/>
            <sz val="8"/>
            <color indexed="81"/>
            <rFont val="Tahoma"/>
            <family val="2"/>
          </rPr>
          <t>Enter maximum high service
flow rate (gpm)</t>
        </r>
      </text>
    </comment>
    <comment ref="S6" authorId="0">
      <text>
        <r>
          <rPr>
            <b/>
            <sz val="8"/>
            <color indexed="81"/>
            <rFont val="Tahoma"/>
            <family val="2"/>
          </rPr>
          <t xml:space="preserve">Enter Target
Microcystin concentration to Inactivate if required,  </t>
        </r>
        <r>
          <rPr>
            <sz val="8"/>
            <color indexed="81"/>
            <rFont val="Tahoma"/>
            <family val="2"/>
          </rPr>
          <t>(Must be greater than Zero and less than or equal to 100)</t>
        </r>
        <r>
          <rPr>
            <sz val="8"/>
            <color indexed="81"/>
            <rFont val="Tahoma"/>
            <family val="2"/>
          </rPr>
          <t xml:space="preserve">
</t>
        </r>
      </text>
    </comment>
    <comment ref="C10" authorId="0">
      <text>
        <r>
          <rPr>
            <b/>
            <sz val="8"/>
            <color indexed="81"/>
            <rFont val="Tahoma"/>
            <family val="2"/>
          </rPr>
          <t>Enter minimum clearwell depth (ft)</t>
        </r>
        <r>
          <rPr>
            <sz val="8"/>
            <color indexed="81"/>
            <rFont val="Tahoma"/>
            <family val="2"/>
          </rPr>
          <t xml:space="preserve">
(If using gal/ft or min./ft
values for segment 1)</t>
        </r>
      </text>
    </comment>
    <comment ref="S10" authorId="0">
      <text>
        <r>
          <rPr>
            <b/>
            <sz val="8"/>
            <color indexed="81"/>
            <rFont val="Tahoma"/>
            <family val="2"/>
          </rPr>
          <t>Enter volume per foot of depth.</t>
        </r>
        <r>
          <rPr>
            <sz val="8"/>
            <color indexed="81"/>
            <rFont val="Tahoma"/>
            <family val="2"/>
          </rPr>
          <t xml:space="preserve">
</t>
        </r>
      </text>
    </comment>
    <comment ref="U10" authorId="0">
      <text>
        <r>
          <rPr>
            <b/>
            <sz val="8"/>
            <color indexed="81"/>
            <rFont val="Tahoma"/>
            <family val="2"/>
          </rPr>
          <t xml:space="preserve">Enter the Baffle Factor for the segment
</t>
        </r>
        <r>
          <rPr>
            <sz val="8"/>
            <color indexed="81"/>
            <rFont val="Tahoma"/>
            <family val="2"/>
          </rPr>
          <t>(must be less than or equal to 1)</t>
        </r>
        <r>
          <rPr>
            <sz val="8"/>
            <color indexed="81"/>
            <rFont val="Tahoma"/>
            <family val="2"/>
          </rPr>
          <t xml:space="preserve">
</t>
        </r>
      </text>
    </comment>
    <comment ref="C11" authorId="0">
      <text>
        <r>
          <rPr>
            <b/>
            <sz val="8"/>
            <color indexed="81"/>
            <rFont val="Tahoma"/>
            <family val="2"/>
          </rPr>
          <t>Enter minimum temperature</t>
        </r>
      </text>
    </comment>
    <comment ref="B12" authorId="0">
      <text>
        <r>
          <rPr>
            <b/>
            <sz val="8"/>
            <color indexed="81"/>
            <rFont val="Tahoma"/>
            <family val="2"/>
          </rPr>
          <t>Select Disinfectant</t>
        </r>
        <r>
          <rPr>
            <sz val="8"/>
            <color indexed="81"/>
            <rFont val="Tahoma"/>
            <family val="2"/>
          </rPr>
          <t xml:space="preserve">
</t>
        </r>
      </text>
    </comment>
    <comment ref="C12" authorId="0">
      <text>
        <r>
          <rPr>
            <b/>
            <sz val="8"/>
            <color indexed="81"/>
            <rFont val="Tahoma"/>
            <family val="2"/>
          </rPr>
          <t>Enter minimum disinfectant residual (mg/l)</t>
        </r>
        <r>
          <rPr>
            <sz val="8"/>
            <color indexed="81"/>
            <rFont val="Tahoma"/>
            <family val="2"/>
          </rPr>
          <t xml:space="preserve">
</t>
        </r>
      </text>
    </comment>
    <comment ref="U12" authorId="0">
      <text>
        <r>
          <rPr>
            <b/>
            <sz val="8"/>
            <color indexed="81"/>
            <rFont val="Tahoma"/>
            <family val="2"/>
          </rPr>
          <t xml:space="preserve">OPTIONAL:
</t>
        </r>
        <r>
          <rPr>
            <sz val="8"/>
            <color indexed="81"/>
            <rFont val="Tahoma"/>
            <family val="2"/>
          </rPr>
          <t>Enter time per ft of depth in lieu of volume.</t>
        </r>
        <r>
          <rPr>
            <sz val="8"/>
            <color indexed="81"/>
            <rFont val="Tahoma"/>
            <family val="2"/>
          </rPr>
          <t xml:space="preserve">
</t>
        </r>
      </text>
    </comment>
    <comment ref="C13" authorId="0">
      <text>
        <r>
          <rPr>
            <b/>
            <sz val="8"/>
            <color indexed="81"/>
            <rFont val="Tahoma"/>
            <family val="2"/>
          </rPr>
          <t xml:space="preserve">Enter maximum pH </t>
        </r>
      </text>
    </comment>
    <comment ref="U13" authorId="0">
      <text>
        <r>
          <rPr>
            <b/>
            <sz val="8"/>
            <color indexed="81"/>
            <rFont val="Tahoma"/>
            <family val="2"/>
          </rPr>
          <t xml:space="preserve">OPTIONAL:
</t>
        </r>
        <r>
          <rPr>
            <sz val="8"/>
            <color indexed="81"/>
            <rFont val="Tahoma"/>
            <family val="2"/>
          </rPr>
          <t>Enter T10 time in lieu of volume or time per ft of depth</t>
        </r>
        <r>
          <rPr>
            <sz val="8"/>
            <color indexed="81"/>
            <rFont val="Tahoma"/>
            <family val="2"/>
          </rPr>
          <t xml:space="preserve">
</t>
        </r>
      </text>
    </comment>
    <comment ref="S15" authorId="0">
      <text>
        <r>
          <rPr>
            <b/>
            <sz val="8"/>
            <color indexed="81"/>
            <rFont val="Tahoma"/>
            <family val="2"/>
          </rPr>
          <t>Enter Volume of segment (gal)</t>
        </r>
        <r>
          <rPr>
            <sz val="8"/>
            <color indexed="81"/>
            <rFont val="Tahoma"/>
            <family val="2"/>
          </rPr>
          <t xml:space="preserve">
</t>
        </r>
      </text>
    </comment>
    <comment ref="U15" authorId="0">
      <text>
        <r>
          <rPr>
            <b/>
            <sz val="8"/>
            <color indexed="81"/>
            <rFont val="Tahoma"/>
            <family val="2"/>
          </rPr>
          <t xml:space="preserve">Enter the Baffle Factor for the segment
</t>
        </r>
        <r>
          <rPr>
            <sz val="8"/>
            <color indexed="81"/>
            <rFont val="Tahoma"/>
            <family val="2"/>
          </rPr>
          <t>(must be less than or equal to 1)</t>
        </r>
        <r>
          <rPr>
            <sz val="8"/>
            <color indexed="81"/>
            <rFont val="Tahoma"/>
            <family val="2"/>
          </rPr>
          <t xml:space="preserve">
</t>
        </r>
      </text>
    </comment>
    <comment ref="C16" authorId="0">
      <text>
        <r>
          <rPr>
            <b/>
            <sz val="8"/>
            <color indexed="81"/>
            <rFont val="Tahoma"/>
            <family val="2"/>
          </rPr>
          <t>Enter minimum temperature</t>
        </r>
      </text>
    </comment>
    <comment ref="B17" authorId="0">
      <text>
        <r>
          <rPr>
            <b/>
            <sz val="8"/>
            <color indexed="81"/>
            <rFont val="Tahoma"/>
            <family val="2"/>
          </rPr>
          <t>Select Disinfectant</t>
        </r>
        <r>
          <rPr>
            <sz val="8"/>
            <color indexed="81"/>
            <rFont val="Tahoma"/>
            <family val="2"/>
          </rPr>
          <t xml:space="preserve">
</t>
        </r>
      </text>
    </comment>
    <comment ref="C17" authorId="0">
      <text>
        <r>
          <rPr>
            <b/>
            <sz val="8"/>
            <color indexed="81"/>
            <rFont val="Tahoma"/>
            <family val="2"/>
          </rPr>
          <t>Enter minimum disinfectant residual (mg/l)</t>
        </r>
        <r>
          <rPr>
            <sz val="8"/>
            <color indexed="81"/>
            <rFont val="Tahoma"/>
            <family val="2"/>
          </rPr>
          <t xml:space="preserve">
</t>
        </r>
      </text>
    </comment>
    <comment ref="U17" authorId="0">
      <text>
        <r>
          <rPr>
            <b/>
            <sz val="8"/>
            <color indexed="81"/>
            <rFont val="Tahoma"/>
            <family val="2"/>
          </rPr>
          <t xml:space="preserve">OPTIONAL:
</t>
        </r>
        <r>
          <rPr>
            <sz val="8"/>
            <color indexed="81"/>
            <rFont val="Tahoma"/>
            <family val="2"/>
          </rPr>
          <t xml:space="preserve">Enter T10 time in lieu of volume </t>
        </r>
        <r>
          <rPr>
            <sz val="8"/>
            <color indexed="81"/>
            <rFont val="Tahoma"/>
            <family val="2"/>
          </rPr>
          <t xml:space="preserve">
</t>
        </r>
      </text>
    </comment>
    <comment ref="C18" authorId="0">
      <text>
        <r>
          <rPr>
            <b/>
            <sz val="8"/>
            <color indexed="81"/>
            <rFont val="Tahoma"/>
            <family val="2"/>
          </rPr>
          <t xml:space="preserve">Enter maximum pH </t>
        </r>
      </text>
    </comment>
    <comment ref="S20" authorId="0">
      <text>
        <r>
          <rPr>
            <b/>
            <sz val="8"/>
            <color indexed="81"/>
            <rFont val="Tahoma"/>
            <family val="2"/>
          </rPr>
          <t>Enter Volume of segment (gal)</t>
        </r>
        <r>
          <rPr>
            <sz val="8"/>
            <color indexed="81"/>
            <rFont val="Tahoma"/>
            <family val="2"/>
          </rPr>
          <t xml:space="preserve">
</t>
        </r>
      </text>
    </comment>
    <comment ref="U20" authorId="0">
      <text>
        <r>
          <rPr>
            <b/>
            <sz val="8"/>
            <color indexed="81"/>
            <rFont val="Tahoma"/>
            <family val="2"/>
          </rPr>
          <t xml:space="preserve">Enter the Baffle Factor for the segment
</t>
        </r>
        <r>
          <rPr>
            <sz val="8"/>
            <color indexed="81"/>
            <rFont val="Tahoma"/>
            <family val="2"/>
          </rPr>
          <t>(must be less than or equal to 1)</t>
        </r>
        <r>
          <rPr>
            <sz val="8"/>
            <color indexed="81"/>
            <rFont val="Tahoma"/>
            <family val="2"/>
          </rPr>
          <t xml:space="preserve">
</t>
        </r>
      </text>
    </comment>
    <comment ref="C21" authorId="0">
      <text>
        <r>
          <rPr>
            <b/>
            <sz val="8"/>
            <color indexed="81"/>
            <rFont val="Tahoma"/>
            <family val="2"/>
          </rPr>
          <t>Enter minimum temperature</t>
        </r>
      </text>
    </comment>
    <comment ref="B22" authorId="0">
      <text>
        <r>
          <rPr>
            <b/>
            <sz val="8"/>
            <color indexed="81"/>
            <rFont val="Tahoma"/>
            <family val="2"/>
          </rPr>
          <t>Select Disinfectant</t>
        </r>
        <r>
          <rPr>
            <sz val="8"/>
            <color indexed="81"/>
            <rFont val="Tahoma"/>
            <family val="2"/>
          </rPr>
          <t xml:space="preserve">
</t>
        </r>
      </text>
    </comment>
    <comment ref="C22" authorId="0">
      <text>
        <r>
          <rPr>
            <b/>
            <sz val="8"/>
            <color indexed="81"/>
            <rFont val="Tahoma"/>
            <family val="2"/>
          </rPr>
          <t>Enter minimum disinfectant residual (mg/l)</t>
        </r>
        <r>
          <rPr>
            <sz val="8"/>
            <color indexed="81"/>
            <rFont val="Tahoma"/>
            <family val="2"/>
          </rPr>
          <t xml:space="preserve">
</t>
        </r>
      </text>
    </comment>
    <comment ref="U22" authorId="0">
      <text>
        <r>
          <rPr>
            <b/>
            <sz val="8"/>
            <color indexed="81"/>
            <rFont val="Tahoma"/>
            <family val="2"/>
          </rPr>
          <t xml:space="preserve">OPTIONAL:
</t>
        </r>
        <r>
          <rPr>
            <sz val="8"/>
            <color indexed="81"/>
            <rFont val="Tahoma"/>
            <family val="2"/>
          </rPr>
          <t xml:space="preserve">Enter T10 time in lieu of volume </t>
        </r>
        <r>
          <rPr>
            <sz val="8"/>
            <color indexed="81"/>
            <rFont val="Tahoma"/>
            <family val="2"/>
          </rPr>
          <t xml:space="preserve">
</t>
        </r>
      </text>
    </comment>
    <comment ref="C23" authorId="0">
      <text>
        <r>
          <rPr>
            <b/>
            <sz val="8"/>
            <color indexed="81"/>
            <rFont val="Tahoma"/>
            <family val="2"/>
          </rPr>
          <t xml:space="preserve">Enter maximum pH </t>
        </r>
      </text>
    </comment>
    <comment ref="S25" authorId="0">
      <text>
        <r>
          <rPr>
            <b/>
            <sz val="8"/>
            <color indexed="81"/>
            <rFont val="Tahoma"/>
            <family val="2"/>
          </rPr>
          <t>Enter Volume of segment (gal)</t>
        </r>
        <r>
          <rPr>
            <sz val="8"/>
            <color indexed="81"/>
            <rFont val="Tahoma"/>
            <family val="2"/>
          </rPr>
          <t xml:space="preserve">
</t>
        </r>
      </text>
    </comment>
    <comment ref="U25" authorId="0">
      <text>
        <r>
          <rPr>
            <b/>
            <sz val="8"/>
            <color indexed="81"/>
            <rFont val="Tahoma"/>
            <family val="2"/>
          </rPr>
          <t xml:space="preserve">Enter the Baffle Factor for the segment
</t>
        </r>
        <r>
          <rPr>
            <sz val="8"/>
            <color indexed="81"/>
            <rFont val="Tahoma"/>
            <family val="2"/>
          </rPr>
          <t>(must be less than or equal to 1)</t>
        </r>
        <r>
          <rPr>
            <sz val="8"/>
            <color indexed="81"/>
            <rFont val="Tahoma"/>
            <family val="2"/>
          </rPr>
          <t xml:space="preserve">
</t>
        </r>
      </text>
    </comment>
    <comment ref="C26" authorId="0">
      <text>
        <r>
          <rPr>
            <b/>
            <sz val="8"/>
            <color indexed="81"/>
            <rFont val="Tahoma"/>
            <family val="2"/>
          </rPr>
          <t>Enter minimum temperature</t>
        </r>
      </text>
    </comment>
    <comment ref="B27" authorId="0">
      <text>
        <r>
          <rPr>
            <b/>
            <sz val="8"/>
            <color indexed="81"/>
            <rFont val="Tahoma"/>
            <family val="2"/>
          </rPr>
          <t>Select Disinfectant</t>
        </r>
        <r>
          <rPr>
            <sz val="8"/>
            <color indexed="81"/>
            <rFont val="Tahoma"/>
            <family val="2"/>
          </rPr>
          <t xml:space="preserve">
</t>
        </r>
      </text>
    </comment>
    <comment ref="C27" authorId="0">
      <text>
        <r>
          <rPr>
            <b/>
            <sz val="8"/>
            <color indexed="81"/>
            <rFont val="Tahoma"/>
            <family val="2"/>
          </rPr>
          <t>Enter minimum disinfectant residual (mg/l)</t>
        </r>
        <r>
          <rPr>
            <sz val="8"/>
            <color indexed="81"/>
            <rFont val="Tahoma"/>
            <family val="2"/>
          </rPr>
          <t xml:space="preserve">
</t>
        </r>
      </text>
    </comment>
    <comment ref="U27" authorId="0">
      <text>
        <r>
          <rPr>
            <b/>
            <sz val="8"/>
            <color indexed="81"/>
            <rFont val="Tahoma"/>
            <family val="2"/>
          </rPr>
          <t xml:space="preserve">OPTIONAL:
</t>
        </r>
        <r>
          <rPr>
            <sz val="8"/>
            <color indexed="81"/>
            <rFont val="Tahoma"/>
            <family val="2"/>
          </rPr>
          <t xml:space="preserve">Enter T10 time in lieu of volume </t>
        </r>
        <r>
          <rPr>
            <sz val="8"/>
            <color indexed="81"/>
            <rFont val="Tahoma"/>
            <family val="2"/>
          </rPr>
          <t xml:space="preserve">
</t>
        </r>
      </text>
    </comment>
    <comment ref="C28" authorId="0">
      <text>
        <r>
          <rPr>
            <b/>
            <sz val="8"/>
            <color indexed="81"/>
            <rFont val="Tahoma"/>
            <family val="2"/>
          </rPr>
          <t xml:space="preserve">Enter maximum pH </t>
        </r>
      </text>
    </comment>
    <comment ref="S30" authorId="0">
      <text>
        <r>
          <rPr>
            <b/>
            <sz val="8"/>
            <color indexed="81"/>
            <rFont val="Tahoma"/>
            <family val="2"/>
          </rPr>
          <t>Select:</t>
        </r>
        <r>
          <rPr>
            <sz val="8"/>
            <color indexed="81"/>
            <rFont val="Tahoma"/>
            <family val="2"/>
          </rPr>
          <t xml:space="preserve">
Diameter 
</t>
        </r>
        <r>
          <rPr>
            <b/>
            <sz val="8"/>
            <color indexed="81"/>
            <rFont val="Tahoma"/>
            <family val="2"/>
          </rPr>
          <t>OR</t>
        </r>
        <r>
          <rPr>
            <sz val="8"/>
            <color indexed="81"/>
            <rFont val="Tahoma"/>
            <family val="2"/>
          </rPr>
          <t xml:space="preserve">
Volume per foot
</t>
        </r>
        <r>
          <rPr>
            <b/>
            <sz val="8"/>
            <color indexed="81"/>
            <rFont val="Tahoma"/>
            <family val="2"/>
          </rPr>
          <t>OR</t>
        </r>
        <r>
          <rPr>
            <sz val="8"/>
            <color indexed="81"/>
            <rFont val="Tahoma"/>
            <family val="2"/>
          </rPr>
          <t xml:space="preserve">
Volume </t>
        </r>
      </text>
    </comment>
    <comment ref="C31" authorId="0">
      <text>
        <r>
          <rPr>
            <b/>
            <sz val="8"/>
            <color indexed="81"/>
            <rFont val="Tahoma"/>
            <family val="2"/>
          </rPr>
          <t xml:space="preserve">Enter minimum pipeline length (ft)
</t>
        </r>
        <r>
          <rPr>
            <sz val="8"/>
            <color indexed="81"/>
            <rFont val="Tahoma"/>
            <family val="2"/>
          </rPr>
          <t>(If using diameter,volume/ft or min./ft values for segment 5)</t>
        </r>
      </text>
    </comment>
    <comment ref="Q31" authorId="0">
      <text>
        <r>
          <rPr>
            <b/>
            <sz val="8"/>
            <color indexed="81"/>
            <rFont val="Tahoma"/>
            <family val="2"/>
          </rPr>
          <t>Enter pipe description
ie: Raw, Filtered, Finished, etc.</t>
        </r>
        <r>
          <rPr>
            <sz val="8"/>
            <color indexed="81"/>
            <rFont val="Tahoma"/>
            <family val="2"/>
          </rPr>
          <t xml:space="preserve">
</t>
        </r>
      </text>
    </comment>
    <comment ref="S31" authorId="0">
      <text>
        <r>
          <rPr>
            <b/>
            <sz val="8"/>
            <color indexed="81"/>
            <rFont val="Tahoma"/>
            <family val="2"/>
          </rPr>
          <t xml:space="preserve">Enter:
</t>
        </r>
        <r>
          <rPr>
            <sz val="8"/>
            <color indexed="81"/>
            <rFont val="Tahoma"/>
            <family val="2"/>
          </rPr>
          <t>Diameter of pipe in inches</t>
        </r>
        <r>
          <rPr>
            <b/>
            <sz val="8"/>
            <color indexed="81"/>
            <rFont val="Tahoma"/>
            <family val="2"/>
          </rPr>
          <t xml:space="preserve">
Or
</t>
        </r>
        <r>
          <rPr>
            <sz val="8"/>
            <color indexed="81"/>
            <rFont val="Tahoma"/>
            <family val="2"/>
          </rPr>
          <t>Volume in gallons</t>
        </r>
        <r>
          <rPr>
            <b/>
            <sz val="8"/>
            <color indexed="81"/>
            <rFont val="Tahoma"/>
            <family val="2"/>
          </rPr>
          <t xml:space="preserve">
Or
</t>
        </r>
        <r>
          <rPr>
            <sz val="8"/>
            <color indexed="81"/>
            <rFont val="Tahoma"/>
            <family val="2"/>
          </rPr>
          <t>Volume per foot in inches</t>
        </r>
      </text>
    </comment>
    <comment ref="U31" authorId="0">
      <text>
        <r>
          <rPr>
            <b/>
            <sz val="8"/>
            <color indexed="81"/>
            <rFont val="Tahoma"/>
            <family val="2"/>
          </rPr>
          <t xml:space="preserve">Enter the Baffle Factor for the segment
</t>
        </r>
        <r>
          <rPr>
            <sz val="8"/>
            <color indexed="81"/>
            <rFont val="Tahoma"/>
            <family val="2"/>
          </rPr>
          <t>(must be less than or equal to 1)</t>
        </r>
        <r>
          <rPr>
            <sz val="8"/>
            <color indexed="81"/>
            <rFont val="Tahoma"/>
            <family val="2"/>
          </rPr>
          <t xml:space="preserve">
</t>
        </r>
      </text>
    </comment>
    <comment ref="C32" authorId="0">
      <text>
        <r>
          <rPr>
            <b/>
            <sz val="8"/>
            <color indexed="81"/>
            <rFont val="Tahoma"/>
            <family val="2"/>
          </rPr>
          <t>Enter minimum temperature</t>
        </r>
      </text>
    </comment>
    <comment ref="B33" authorId="0">
      <text>
        <r>
          <rPr>
            <b/>
            <sz val="8"/>
            <color indexed="81"/>
            <rFont val="Tahoma"/>
            <family val="2"/>
          </rPr>
          <t>Select Disinfectant</t>
        </r>
        <r>
          <rPr>
            <sz val="8"/>
            <color indexed="81"/>
            <rFont val="Tahoma"/>
            <family val="2"/>
          </rPr>
          <t xml:space="preserve">
</t>
        </r>
      </text>
    </comment>
    <comment ref="C33" authorId="0">
      <text>
        <r>
          <rPr>
            <b/>
            <sz val="8"/>
            <color indexed="81"/>
            <rFont val="Tahoma"/>
            <family val="2"/>
          </rPr>
          <t>Enter minimum disinfectant residual (mg/l)</t>
        </r>
        <r>
          <rPr>
            <sz val="8"/>
            <color indexed="81"/>
            <rFont val="Tahoma"/>
            <family val="2"/>
          </rPr>
          <t xml:space="preserve">
</t>
        </r>
      </text>
    </comment>
    <comment ref="U33" authorId="0">
      <text>
        <r>
          <rPr>
            <b/>
            <sz val="8"/>
            <color indexed="81"/>
            <rFont val="Tahoma"/>
            <family val="2"/>
          </rPr>
          <t xml:space="preserve">OPTIONAL:
</t>
        </r>
        <r>
          <rPr>
            <sz val="8"/>
            <color indexed="81"/>
            <rFont val="Tahoma"/>
            <family val="2"/>
          </rPr>
          <t>Enter time per ft of length in lieu of volume.</t>
        </r>
        <r>
          <rPr>
            <sz val="8"/>
            <color indexed="81"/>
            <rFont val="Tahoma"/>
            <family val="2"/>
          </rPr>
          <t xml:space="preserve">
</t>
        </r>
      </text>
    </comment>
    <comment ref="C34" authorId="0">
      <text>
        <r>
          <rPr>
            <b/>
            <sz val="8"/>
            <color indexed="81"/>
            <rFont val="Tahoma"/>
            <family val="2"/>
          </rPr>
          <t xml:space="preserve">Enter maximum pH </t>
        </r>
      </text>
    </comment>
    <comment ref="U34" authorId="0">
      <text>
        <r>
          <rPr>
            <b/>
            <sz val="8"/>
            <color indexed="81"/>
            <rFont val="Tahoma"/>
            <family val="2"/>
          </rPr>
          <t xml:space="preserve">OPTIONAL:
</t>
        </r>
        <r>
          <rPr>
            <sz val="8"/>
            <color indexed="81"/>
            <rFont val="Tahoma"/>
            <family val="2"/>
          </rPr>
          <t>Enter T10 time in lieu of volume or time per ft of length</t>
        </r>
        <r>
          <rPr>
            <sz val="8"/>
            <color indexed="81"/>
            <rFont val="Tahoma"/>
            <family val="2"/>
          </rPr>
          <t xml:space="preserve">
</t>
        </r>
      </text>
    </comment>
  </commentList>
</comments>
</file>

<file path=xl/sharedStrings.xml><?xml version="1.0" encoding="utf-8"?>
<sst xmlns="http://schemas.openxmlformats.org/spreadsheetml/2006/main" count="1401" uniqueCount="677">
  <si>
    <t xml:space="preserve">CL2 </t>
  </si>
  <si>
    <t>mg/l</t>
  </si>
  <si>
    <t>Temperature &lt;= 0.5 C</t>
  </si>
  <si>
    <t>Temperature = 5 C</t>
  </si>
  <si>
    <t>Temperature = 10 C</t>
  </si>
  <si>
    <t>Temperature = 15 C</t>
  </si>
  <si>
    <t>Temperature = 20 C</t>
  </si>
  <si>
    <t>Temperature = 25 C</t>
  </si>
  <si>
    <t>logs</t>
  </si>
  <si>
    <t>pH</t>
  </si>
  <si>
    <t>C</t>
  </si>
  <si>
    <t>F</t>
  </si>
  <si>
    <t>Raw Water Line</t>
  </si>
  <si>
    <t>Volume</t>
  </si>
  <si>
    <t>gal</t>
  </si>
  <si>
    <t>Rapid Mix</t>
  </si>
  <si>
    <t>Flocculation</t>
  </si>
  <si>
    <t>Sedimentation</t>
  </si>
  <si>
    <t>Clarifier</t>
  </si>
  <si>
    <t>Filters</t>
  </si>
  <si>
    <t>Filtered Water Line</t>
  </si>
  <si>
    <t>Clearwell</t>
  </si>
  <si>
    <t>Finished Water Line</t>
  </si>
  <si>
    <t>Other (enter name)</t>
  </si>
  <si>
    <t>gal/ft</t>
  </si>
  <si>
    <t>Minimum depth</t>
  </si>
  <si>
    <t>ft</t>
  </si>
  <si>
    <t xml:space="preserve">Plant Flow </t>
  </si>
  <si>
    <t xml:space="preserve">HS Flow </t>
  </si>
  <si>
    <t>gpm</t>
  </si>
  <si>
    <t>Segment</t>
  </si>
  <si>
    <t>T10 Time</t>
  </si>
  <si>
    <t>Flow Rate</t>
  </si>
  <si>
    <t>SEGMENT LIST</t>
  </si>
  <si>
    <t>TEMP LIST</t>
  </si>
  <si>
    <t>FLOW LIST</t>
  </si>
  <si>
    <t>Plant</t>
  </si>
  <si>
    <t>High Service</t>
  </si>
  <si>
    <t>Both</t>
  </si>
  <si>
    <t>gallons</t>
  </si>
  <si>
    <t>min</t>
  </si>
  <si>
    <t>CT achieved</t>
  </si>
  <si>
    <t>min-mg/l</t>
  </si>
  <si>
    <t>Temp.</t>
  </si>
  <si>
    <t>CT required</t>
  </si>
  <si>
    <t>Percent</t>
  </si>
  <si>
    <t>Cl2a S1</t>
  </si>
  <si>
    <t>Cl2b S1</t>
  </si>
  <si>
    <t>Segment 1</t>
  </si>
  <si>
    <t>CT Values</t>
  </si>
  <si>
    <t>% Below</t>
  </si>
  <si>
    <t>Column Index 1</t>
  </si>
  <si>
    <t>Column Index 2</t>
  </si>
  <si>
    <t>Column Index 3</t>
  </si>
  <si>
    <t>Column Index 4</t>
  </si>
  <si>
    <t>1-log</t>
  </si>
  <si>
    <t>Interpolate pH</t>
  </si>
  <si>
    <t>log-I</t>
  </si>
  <si>
    <t>Temp</t>
  </si>
  <si>
    <t>Cl2</t>
  </si>
  <si>
    <t>Cl2 catergory 1 S1</t>
  </si>
  <si>
    <t>Cl2 catergory 2 S2</t>
  </si>
  <si>
    <t>.5-log</t>
  </si>
  <si>
    <t>1.5-log</t>
  </si>
  <si>
    <t>Inactvation</t>
  </si>
  <si>
    <t>Category</t>
  </si>
  <si>
    <t>2-log</t>
  </si>
  <si>
    <t>2.5-log</t>
  </si>
  <si>
    <t>3-log</t>
  </si>
  <si>
    <t>pH category 1 S1</t>
  </si>
  <si>
    <t>pH category 1 S2</t>
  </si>
  <si>
    <t>Temp catergory 1 S1</t>
  </si>
  <si>
    <t>Temp catergory 1 S2</t>
  </si>
  <si>
    <t>pH category 2 S2</t>
  </si>
  <si>
    <t>pH category 2 S1</t>
  </si>
  <si>
    <t>Temp catergory 2 S2</t>
  </si>
  <si>
    <t>Cl2 catergory 1 S2</t>
  </si>
  <si>
    <t>Cl2 catergory 2 S1</t>
  </si>
  <si>
    <t>Cl2a S2</t>
  </si>
  <si>
    <t>Cl2b S2</t>
  </si>
  <si>
    <t>Cl2 catergory 1 S3</t>
  </si>
  <si>
    <t>Cl2 catergory 2 S3</t>
  </si>
  <si>
    <t>Cl2a S3</t>
  </si>
  <si>
    <t>Cl2b S3</t>
  </si>
  <si>
    <t>Temp catergory 1 S3</t>
  </si>
  <si>
    <t>Temp catergory 2 S1</t>
  </si>
  <si>
    <t>Temp catergory 2 S3</t>
  </si>
  <si>
    <t>pH category 1 S3</t>
  </si>
  <si>
    <t>pH category 2 S3</t>
  </si>
  <si>
    <t>pH category 1 S4</t>
  </si>
  <si>
    <t>pH category 2 S4</t>
  </si>
  <si>
    <t>pH category 1 S5</t>
  </si>
  <si>
    <t>pH category 2 S5</t>
  </si>
  <si>
    <t>Temp catergory 1 S4</t>
  </si>
  <si>
    <t>Temp catergory 2 S4</t>
  </si>
  <si>
    <t>Temp catergory 1 S5</t>
  </si>
  <si>
    <t>Temp catergory 2 S5</t>
  </si>
  <si>
    <t>Cl2 catergory 1 S4</t>
  </si>
  <si>
    <t>Cl2 catergory 2 S4</t>
  </si>
  <si>
    <t>Cl2a S4</t>
  </si>
  <si>
    <t>Cl2b S4</t>
  </si>
  <si>
    <t>Cl2 catergory 1 S5</t>
  </si>
  <si>
    <t>Cl2 catergory 2 S5</t>
  </si>
  <si>
    <t>Cl2a S5</t>
  </si>
  <si>
    <t>Cl2b S5</t>
  </si>
  <si>
    <t>Segment 2</t>
  </si>
  <si>
    <t>Segment 3</t>
  </si>
  <si>
    <t>Segment 4</t>
  </si>
  <si>
    <t>Segment 5</t>
  </si>
  <si>
    <t>pH &lt;=6   Table #1</t>
  </si>
  <si>
    <t>pH &lt;=6   Table #8</t>
  </si>
  <si>
    <t>pH &lt;=6   Table #15</t>
  </si>
  <si>
    <t>pH &lt;=6   Table #22</t>
  </si>
  <si>
    <t>pH &lt;=6   Table #29</t>
  </si>
  <si>
    <t>pH &lt;=6   Table #36</t>
  </si>
  <si>
    <t>pH =6.5   Table #2</t>
  </si>
  <si>
    <t>pH =6.5   Table #37</t>
  </si>
  <si>
    <t>pH =6.5   Table #16</t>
  </si>
  <si>
    <t>pH =6.5   Table #9</t>
  </si>
  <si>
    <t>pH =7   Table #3</t>
  </si>
  <si>
    <t>pH =7   Table #31</t>
  </si>
  <si>
    <t>pH =6.5   Table #30</t>
  </si>
  <si>
    <t>pH =7   Table #17</t>
  </si>
  <si>
    <t>pH =7   Table #10</t>
  </si>
  <si>
    <t>pH =7.5   Table #4</t>
  </si>
  <si>
    <t>pH =7.5   Table #32</t>
  </si>
  <si>
    <t>pH =7.5   Table #18</t>
  </si>
  <si>
    <t>pH =7.5   Table #11</t>
  </si>
  <si>
    <t>pH =8   Table #5</t>
  </si>
  <si>
    <t>pH =7.5   Table #39</t>
  </si>
  <si>
    <t>pH =8   Table #40</t>
  </si>
  <si>
    <t>pH =8   Table #33</t>
  </si>
  <si>
    <t>pH =8   Table #19</t>
  </si>
  <si>
    <t>pH =8   Table #12</t>
  </si>
  <si>
    <t>pH =8.5   Table #6</t>
  </si>
  <si>
    <t>pH =8.5   Table #41</t>
  </si>
  <si>
    <t>pH =8.5   Table #34</t>
  </si>
  <si>
    <t>pH =8.5   Table #20</t>
  </si>
  <si>
    <t>pH =8.5   Table #13</t>
  </si>
  <si>
    <t>pH =9   Table #7</t>
  </si>
  <si>
    <t>pH =9   Table #42</t>
  </si>
  <si>
    <t>pH =9   Table #35</t>
  </si>
  <si>
    <t>pH =9   Table #21</t>
  </si>
  <si>
    <t>pH =9   Table #14</t>
  </si>
  <si>
    <t>pH =6.5   Table #23</t>
  </si>
  <si>
    <t>pH =7   Table #24</t>
  </si>
  <si>
    <t>pH =7.5   Table #25</t>
  </si>
  <si>
    <t>pH =8   Table #26</t>
  </si>
  <si>
    <t>pH =8.5   Table #27</t>
  </si>
  <si>
    <t>pH =9   Table #28</t>
  </si>
  <si>
    <t>CL2</t>
  </si>
  <si>
    <t>Temperature</t>
  </si>
  <si>
    <t>Log I</t>
  </si>
  <si>
    <t>#</t>
  </si>
  <si>
    <t>CTcS1</t>
  </si>
  <si>
    <t>CTrS1</t>
  </si>
  <si>
    <t>CL2r1</t>
  </si>
  <si>
    <t>Seg 1</t>
  </si>
  <si>
    <t>Seg 2</t>
  </si>
  <si>
    <t>Seg 3</t>
  </si>
  <si>
    <t>Seg 4</t>
  </si>
  <si>
    <t>Seg 5</t>
  </si>
  <si>
    <t>CTcS2</t>
  </si>
  <si>
    <t>CTcS3</t>
  </si>
  <si>
    <t>CTcS4</t>
  </si>
  <si>
    <t>CTcS5</t>
  </si>
  <si>
    <t>CTrS2</t>
  </si>
  <si>
    <t>CTrS3</t>
  </si>
  <si>
    <t>CTrS4</t>
  </si>
  <si>
    <t>CTrS5</t>
  </si>
  <si>
    <t>CTra</t>
  </si>
  <si>
    <t>TTrb</t>
  </si>
  <si>
    <t>CL2ra</t>
  </si>
  <si>
    <t>CL2rb</t>
  </si>
  <si>
    <t>1-1-1</t>
  </si>
  <si>
    <t>1-1-2</t>
  </si>
  <si>
    <t>1-1-3</t>
  </si>
  <si>
    <t>1-1-4</t>
  </si>
  <si>
    <t>1-1-5</t>
  </si>
  <si>
    <t>1-1-6</t>
  </si>
  <si>
    <t>1-2-1</t>
  </si>
  <si>
    <t>1-2-2</t>
  </si>
  <si>
    <t>1-2-3</t>
  </si>
  <si>
    <t>1-2-4</t>
  </si>
  <si>
    <t>1-2-5</t>
  </si>
  <si>
    <t>1-2-6</t>
  </si>
  <si>
    <t>1-3-1</t>
  </si>
  <si>
    <t>1-3-2</t>
  </si>
  <si>
    <t>1-3-3</t>
  </si>
  <si>
    <t>1-3-4</t>
  </si>
  <si>
    <t>1-3-5</t>
  </si>
  <si>
    <t>1-3-6</t>
  </si>
  <si>
    <t>1-4-1</t>
  </si>
  <si>
    <t>1-4-2</t>
  </si>
  <si>
    <t>1-4-3</t>
  </si>
  <si>
    <t>1-4-4</t>
  </si>
  <si>
    <t>1-4-5</t>
  </si>
  <si>
    <t>1-4-6</t>
  </si>
  <si>
    <t>1-5-1</t>
  </si>
  <si>
    <t>1-5-2</t>
  </si>
  <si>
    <t>1-5-3</t>
  </si>
  <si>
    <t>1-5-4</t>
  </si>
  <si>
    <t>1-5-5</t>
  </si>
  <si>
    <t>1-5-6</t>
  </si>
  <si>
    <t>1-6-1</t>
  </si>
  <si>
    <t>1-6-2</t>
  </si>
  <si>
    <t>1-6-3</t>
  </si>
  <si>
    <t>1-6-4</t>
  </si>
  <si>
    <t>1-6-5</t>
  </si>
  <si>
    <t>1-6-6</t>
  </si>
  <si>
    <t>1-7-1</t>
  </si>
  <si>
    <t>1-7-2</t>
  </si>
  <si>
    <t>1-7-3</t>
  </si>
  <si>
    <t>1-7-4</t>
  </si>
  <si>
    <t>1-7-5</t>
  </si>
  <si>
    <t>1-7-6</t>
  </si>
  <si>
    <t>2-1-1</t>
  </si>
  <si>
    <t>2-1-2</t>
  </si>
  <si>
    <t>2-1-3</t>
  </si>
  <si>
    <t>2-1-4</t>
  </si>
  <si>
    <t>2-1-5</t>
  </si>
  <si>
    <t>2-1-6</t>
  </si>
  <si>
    <t>2-7-1</t>
  </si>
  <si>
    <t>2-6-1</t>
  </si>
  <si>
    <t>2-5-1</t>
  </si>
  <si>
    <t>2-4-1</t>
  </si>
  <si>
    <t>2-3-1</t>
  </si>
  <si>
    <t>2-2-1</t>
  </si>
  <si>
    <t>2-2-2</t>
  </si>
  <si>
    <t>2-2-3</t>
  </si>
  <si>
    <t>2-2-4</t>
  </si>
  <si>
    <t>2-2-5</t>
  </si>
  <si>
    <t>2-2-6</t>
  </si>
  <si>
    <t>2-3-2</t>
  </si>
  <si>
    <t>2-3-3</t>
  </si>
  <si>
    <t>2-3-4</t>
  </si>
  <si>
    <t>2-3-5</t>
  </si>
  <si>
    <t>2-3-6</t>
  </si>
  <si>
    <t>2-4-2</t>
  </si>
  <si>
    <t>2-4-3</t>
  </si>
  <si>
    <t>2-4-4</t>
  </si>
  <si>
    <t>2-4-5</t>
  </si>
  <si>
    <t>2-4-6</t>
  </si>
  <si>
    <t>2-5-2</t>
  </si>
  <si>
    <t>2-5-3</t>
  </si>
  <si>
    <t>2-5-4</t>
  </si>
  <si>
    <t>2-5-5</t>
  </si>
  <si>
    <t>2-5-6</t>
  </si>
  <si>
    <t>2-6-2</t>
  </si>
  <si>
    <t>2-6-3</t>
  </si>
  <si>
    <t>2-6-4</t>
  </si>
  <si>
    <t>2-6-5</t>
  </si>
  <si>
    <t>2-6-6</t>
  </si>
  <si>
    <t>2-7-2</t>
  </si>
  <si>
    <t>2-7-3</t>
  </si>
  <si>
    <t>2-7-4</t>
  </si>
  <si>
    <t>2-7-5</t>
  </si>
  <si>
    <t>2-7-6</t>
  </si>
  <si>
    <t>3-1-1</t>
  </si>
  <si>
    <t>3-7-1</t>
  </si>
  <si>
    <t>3-6-1</t>
  </si>
  <si>
    <t>3-5-1</t>
  </si>
  <si>
    <t>3-4-1</t>
  </si>
  <si>
    <t>3-3-1</t>
  </si>
  <si>
    <t>3-2-1</t>
  </si>
  <si>
    <t>3-1-2</t>
  </si>
  <si>
    <t>3-1-3</t>
  </si>
  <si>
    <t>3-1-4</t>
  </si>
  <si>
    <t>3-1-5</t>
  </si>
  <si>
    <t>3-1-6</t>
  </si>
  <si>
    <t>3-2-2</t>
  </si>
  <si>
    <t>3-2-3</t>
  </si>
  <si>
    <t>3-2-4</t>
  </si>
  <si>
    <t>3-2-5</t>
  </si>
  <si>
    <t>3-2-6</t>
  </si>
  <si>
    <t>3-3-2</t>
  </si>
  <si>
    <t>3-3-3</t>
  </si>
  <si>
    <t>3-3-4</t>
  </si>
  <si>
    <t>3-3-5</t>
  </si>
  <si>
    <t>3-3-6</t>
  </si>
  <si>
    <t>3-4-2</t>
  </si>
  <si>
    <t>3-4-3</t>
  </si>
  <si>
    <t>3-4-4</t>
  </si>
  <si>
    <t>3-4-5</t>
  </si>
  <si>
    <t>3-4-6</t>
  </si>
  <si>
    <t>3-5-2</t>
  </si>
  <si>
    <t>3-5-3</t>
  </si>
  <si>
    <t>3-5-4</t>
  </si>
  <si>
    <t>3-5-5</t>
  </si>
  <si>
    <t>3-5-6</t>
  </si>
  <si>
    <t>3-6-2</t>
  </si>
  <si>
    <t>3-6-3</t>
  </si>
  <si>
    <t>3-6-4</t>
  </si>
  <si>
    <t>3-6-5</t>
  </si>
  <si>
    <t>3-6-6</t>
  </si>
  <si>
    <t>3-7-2</t>
  </si>
  <si>
    <t>3-7-3</t>
  </si>
  <si>
    <t>3-7-4</t>
  </si>
  <si>
    <t>3-7-5</t>
  </si>
  <si>
    <t>3-7-6</t>
  </si>
  <si>
    <t>4-1-1</t>
  </si>
  <si>
    <t>5-1-1</t>
  </si>
  <si>
    <t>5-7-1</t>
  </si>
  <si>
    <t>5-6-1</t>
  </si>
  <si>
    <t>5-5-1</t>
  </si>
  <si>
    <t>5-4-1</t>
  </si>
  <si>
    <t>5-3-1</t>
  </si>
  <si>
    <t>5-2-1</t>
  </si>
  <si>
    <t>4-7-1</t>
  </si>
  <si>
    <t>4-6-1</t>
  </si>
  <si>
    <t>4-5-1</t>
  </si>
  <si>
    <t>4-4-1</t>
  </si>
  <si>
    <t>4-3-1</t>
  </si>
  <si>
    <t>4-2-1</t>
  </si>
  <si>
    <t>4-1-2</t>
  </si>
  <si>
    <t>4-1-3</t>
  </si>
  <si>
    <t>4-1-4</t>
  </si>
  <si>
    <t>4-1-5</t>
  </si>
  <si>
    <t>4-1-6</t>
  </si>
  <si>
    <t>4-2-2</t>
  </si>
  <si>
    <t>4-2-3</t>
  </si>
  <si>
    <t>4-2-4</t>
  </si>
  <si>
    <t>4-2-5</t>
  </si>
  <si>
    <t>4-2-6</t>
  </si>
  <si>
    <t>4-3-2</t>
  </si>
  <si>
    <t>4-3-3</t>
  </si>
  <si>
    <t>4-3-4</t>
  </si>
  <si>
    <t>4-3-5</t>
  </si>
  <si>
    <t>4-3-6</t>
  </si>
  <si>
    <t>4-4-2</t>
  </si>
  <si>
    <t>4-4-3</t>
  </si>
  <si>
    <t>4-4-4</t>
  </si>
  <si>
    <t>4-4-5</t>
  </si>
  <si>
    <t>4-4-6</t>
  </si>
  <si>
    <t>4-5-2</t>
  </si>
  <si>
    <t>4-5-3</t>
  </si>
  <si>
    <t>4-5-4</t>
  </si>
  <si>
    <t>4-5-5</t>
  </si>
  <si>
    <t>4-5-6</t>
  </si>
  <si>
    <t>4-6-2</t>
  </si>
  <si>
    <t>4-6-3</t>
  </si>
  <si>
    <t>4-6-4</t>
  </si>
  <si>
    <t>4-6-5</t>
  </si>
  <si>
    <t>4-6-6</t>
  </si>
  <si>
    <t>4-7-2</t>
  </si>
  <si>
    <t>4-7-3</t>
  </si>
  <si>
    <t>4-7-4</t>
  </si>
  <si>
    <t>4-7-5</t>
  </si>
  <si>
    <t>4-7-6</t>
  </si>
  <si>
    <t>5-1-2</t>
  </si>
  <si>
    <t>5-1-3</t>
  </si>
  <si>
    <t>5-1-4</t>
  </si>
  <si>
    <t>5-1-5</t>
  </si>
  <si>
    <t>5-1-6</t>
  </si>
  <si>
    <t>5-2-2</t>
  </si>
  <si>
    <t>5-2-3</t>
  </si>
  <si>
    <t>5-2-4</t>
  </si>
  <si>
    <t>5-2-5</t>
  </si>
  <si>
    <t>5-2-6</t>
  </si>
  <si>
    <t>5-3-2</t>
  </si>
  <si>
    <t>5-3-3</t>
  </si>
  <si>
    <t>5-3-4</t>
  </si>
  <si>
    <t>5-3-5</t>
  </si>
  <si>
    <t>5-3-6</t>
  </si>
  <si>
    <t>5-4-2</t>
  </si>
  <si>
    <t>5-4-3</t>
  </si>
  <si>
    <t>5-4-4</t>
  </si>
  <si>
    <t>5-4-5</t>
  </si>
  <si>
    <t>5-4-6</t>
  </si>
  <si>
    <t>5-5-2</t>
  </si>
  <si>
    <t>5-5-3</t>
  </si>
  <si>
    <t>5-5-4</t>
  </si>
  <si>
    <t>5-5-5</t>
  </si>
  <si>
    <t>5-5-6</t>
  </si>
  <si>
    <t>5-6-2</t>
  </si>
  <si>
    <t>5-6-3</t>
  </si>
  <si>
    <t>5-6-4</t>
  </si>
  <si>
    <t>5-6-5</t>
  </si>
  <si>
    <t>5-6-6</t>
  </si>
  <si>
    <t>5-7-2</t>
  </si>
  <si>
    <t>5-7-3</t>
  </si>
  <si>
    <t>5-7-4</t>
  </si>
  <si>
    <t>5-7-5</t>
  </si>
  <si>
    <t>5-7-6</t>
  </si>
  <si>
    <t>6-1-1</t>
  </si>
  <si>
    <t>6-7-1</t>
  </si>
  <si>
    <t>6-6-1</t>
  </si>
  <si>
    <t>6-5-1</t>
  </si>
  <si>
    <t>6-4-1</t>
  </si>
  <si>
    <t>6-3-1</t>
  </si>
  <si>
    <t>6-2-1</t>
  </si>
  <si>
    <t>6-1-2</t>
  </si>
  <si>
    <t>6-1-3</t>
  </si>
  <si>
    <t>6-1-4</t>
  </si>
  <si>
    <t>6-1-5</t>
  </si>
  <si>
    <t>6-1-6</t>
  </si>
  <si>
    <t>6-2-2</t>
  </si>
  <si>
    <t>6-2-3</t>
  </si>
  <si>
    <t>6-2-4</t>
  </si>
  <si>
    <t>6-2-5</t>
  </si>
  <si>
    <t>6-2-6</t>
  </si>
  <si>
    <t>6-3-2</t>
  </si>
  <si>
    <t>6-3-3</t>
  </si>
  <si>
    <t>6-3-4</t>
  </si>
  <si>
    <t>6-3-5</t>
  </si>
  <si>
    <t>6-3-6</t>
  </si>
  <si>
    <t>6-4-2</t>
  </si>
  <si>
    <t>6-4-3</t>
  </si>
  <si>
    <t>6-4-4</t>
  </si>
  <si>
    <t>6-4-5</t>
  </si>
  <si>
    <t>6-4-6</t>
  </si>
  <si>
    <t>6-5-2</t>
  </si>
  <si>
    <t>6-5-3</t>
  </si>
  <si>
    <t>6-5-4</t>
  </si>
  <si>
    <t>6-5-5</t>
  </si>
  <si>
    <t>6-5-6</t>
  </si>
  <si>
    <t>6-6-2</t>
  </si>
  <si>
    <t>6-6-3</t>
  </si>
  <si>
    <t>6-6-4</t>
  </si>
  <si>
    <t>6-6-5</t>
  </si>
  <si>
    <t>6-6-6</t>
  </si>
  <si>
    <t>6-7-2</t>
  </si>
  <si>
    <t>6-7-3</t>
  </si>
  <si>
    <t>6-7-4</t>
  </si>
  <si>
    <t>6-7-5</t>
  </si>
  <si>
    <t>6-7-6</t>
  </si>
  <si>
    <t>Table</t>
  </si>
  <si>
    <t>CT Compliance Calculation Worksheet</t>
  </si>
  <si>
    <t>Column</t>
  </si>
  <si>
    <t>Row</t>
  </si>
  <si>
    <t>Table #</t>
  </si>
  <si>
    <t>Achieved</t>
  </si>
  <si>
    <t>Total CT</t>
  </si>
  <si>
    <t>Backwash</t>
  </si>
  <si>
    <t>HS + Backwash</t>
  </si>
  <si>
    <t>pH =7   Table #38</t>
  </si>
  <si>
    <t>Giardia</t>
  </si>
  <si>
    <t>Temp C</t>
  </si>
  <si>
    <t>4-log</t>
  </si>
  <si>
    <t>CT table</t>
  </si>
  <si>
    <t>Virus CT Table for Free Cl2</t>
  </si>
  <si>
    <t>Free Cl2</t>
  </si>
  <si>
    <t>Cl2 (free)</t>
  </si>
  <si>
    <t>Virus CT Table</t>
  </si>
  <si>
    <t>pH 6-9</t>
  </si>
  <si>
    <t>pH 10</t>
  </si>
  <si>
    <t>Log G category 1</t>
  </si>
  <si>
    <t>Log G category 2</t>
  </si>
  <si>
    <t>Virus</t>
  </si>
  <si>
    <t>1-1</t>
  </si>
  <si>
    <t>1-2</t>
  </si>
  <si>
    <t>1-3</t>
  </si>
  <si>
    <t>2-1</t>
  </si>
  <si>
    <t>2-2</t>
  </si>
  <si>
    <t>2-3</t>
  </si>
  <si>
    <t>Segment 1 Required Cl2 for 100% Giardia CT</t>
  </si>
  <si>
    <t>Segment 5 Required Cl2 for 100% Giardia CT</t>
  </si>
  <si>
    <t>Segment 4 Required Cl2 for 100% Giardia CT</t>
  </si>
  <si>
    <t>Segment 3 Required Cl2 for 100% Giardia CT</t>
  </si>
  <si>
    <t>Segment 2 Required Cl2 for 100% Giardia CT</t>
  </si>
  <si>
    <t>Log V category 1</t>
  </si>
  <si>
    <t>Log V category 2</t>
  </si>
  <si>
    <t>pH V category 1 S1</t>
  </si>
  <si>
    <t>pH V category 2 S1</t>
  </si>
  <si>
    <t>V Column Index 1</t>
  </si>
  <si>
    <t>V Column Index 2</t>
  </si>
  <si>
    <t xml:space="preserve"> CT Calculations</t>
  </si>
  <si>
    <t>Required Cl2 for 100% Virus CT per Segment</t>
  </si>
  <si>
    <t>CL2Rg</t>
  </si>
  <si>
    <t>CL2Rv</t>
  </si>
  <si>
    <t>0-log</t>
  </si>
  <si>
    <t>OR enter time</t>
  </si>
  <si>
    <t>Segment Name</t>
  </si>
  <si>
    <t>Virus log Category</t>
  </si>
  <si>
    <t>Giardia log Category</t>
  </si>
  <si>
    <t>0.5-log</t>
  </si>
  <si>
    <t>Giardia CT Table for Chlorine Dioxide</t>
  </si>
  <si>
    <t>Virus CT Table for Chlorine Dioxide</t>
  </si>
  <si>
    <t>Giardia CT Table for Ozone</t>
  </si>
  <si>
    <t>Virus CT Table for Ozone</t>
  </si>
  <si>
    <t>Giardia CT Table for Chloramine</t>
  </si>
  <si>
    <t>DISINFECTANT</t>
  </si>
  <si>
    <t>Chlorine Dioxide</t>
  </si>
  <si>
    <t>Ozone</t>
  </si>
  <si>
    <t>Chloramine</t>
  </si>
  <si>
    <t>Giardia CT Cl2 (free)</t>
  </si>
  <si>
    <t>Segment 1 Virus CT Cl2 (free)</t>
  </si>
  <si>
    <t>Segment 2 Virus CT Cl2 (free)</t>
  </si>
  <si>
    <t>Segment 3 Virus CT Cl2 (free)</t>
  </si>
  <si>
    <t>Segment 4 Virus CT Cl2 (free)</t>
  </si>
  <si>
    <t>Segment 5 Virus CT Cl2 (free)</t>
  </si>
  <si>
    <t>ClOLog V category 1</t>
  </si>
  <si>
    <t>ClOLog V category 2</t>
  </si>
  <si>
    <t>ClOLog G category 1</t>
  </si>
  <si>
    <t>ClOLog G category 2</t>
  </si>
  <si>
    <t>Giardia CT Table</t>
  </si>
  <si>
    <t>Segment 1 CT Chlorine Dioxide</t>
  </si>
  <si>
    <t xml:space="preserve"> </t>
  </si>
  <si>
    <t>Interpolate</t>
  </si>
  <si>
    <t>ClORg</t>
  </si>
  <si>
    <t>ClORv</t>
  </si>
  <si>
    <t>O3Rg</t>
  </si>
  <si>
    <t>O3Rv</t>
  </si>
  <si>
    <t>Segment 1 CT Ozone</t>
  </si>
  <si>
    <t>O3Log G category 1</t>
  </si>
  <si>
    <t>O3Log G category 2</t>
  </si>
  <si>
    <t>O3Log V category 1</t>
  </si>
  <si>
    <t>O3Log V category 2</t>
  </si>
  <si>
    <t>ClALog G category 1</t>
  </si>
  <si>
    <t>ClALog V category 1</t>
  </si>
  <si>
    <t>ClALog V category 2</t>
  </si>
  <si>
    <t>Segment 1 CT Chloramine</t>
  </si>
  <si>
    <t>Virus CT Table for Chloramine</t>
  </si>
  <si>
    <t>pH V category 1 S2</t>
  </si>
  <si>
    <t>pH V category 2 S2</t>
  </si>
  <si>
    <t>pH V category 1 S3</t>
  </si>
  <si>
    <t>pH V category 2 S3</t>
  </si>
  <si>
    <t>pH V category 1 S4</t>
  </si>
  <si>
    <t>pH V category 2 S4</t>
  </si>
  <si>
    <t>pH V category 1 S5</t>
  </si>
  <si>
    <t>pH V category 2 S5</t>
  </si>
  <si>
    <t>Segment 2 CT Chlorine Dioxide</t>
  </si>
  <si>
    <t>ClALog G category 2</t>
  </si>
  <si>
    <t>Segment 2 CT Ozone</t>
  </si>
  <si>
    <t>Segment 2 CT Chloramine</t>
  </si>
  <si>
    <t>Segment 3 CT Chloramine</t>
  </si>
  <si>
    <t>Segment 3 CT Ozone</t>
  </si>
  <si>
    <t>Segment 3 CT Chlorine Dioxide</t>
  </si>
  <si>
    <t>Segment 4 CT Chlorine Dioxide</t>
  </si>
  <si>
    <t>Segment 5 CT Chlorine Dioxide</t>
  </si>
  <si>
    <t>Segment 4 CT Ozone</t>
  </si>
  <si>
    <t>Segment 4 CT Chloramine</t>
  </si>
  <si>
    <t>Segment 5 CT Chloramine</t>
  </si>
  <si>
    <t>Segment 5 CT Ozone</t>
  </si>
  <si>
    <t>Pipeline</t>
  </si>
  <si>
    <t>Length</t>
  </si>
  <si>
    <r>
      <t xml:space="preserve">Required </t>
    </r>
    <r>
      <rPr>
        <i/>
        <sz val="10"/>
        <color indexed="53"/>
        <rFont val="Arial"/>
        <family val="2"/>
      </rPr>
      <t>Virus</t>
    </r>
  </si>
  <si>
    <r>
      <t xml:space="preserve">Required </t>
    </r>
    <r>
      <rPr>
        <i/>
        <sz val="10"/>
        <color indexed="48"/>
        <rFont val="Arial"/>
        <family val="2"/>
      </rPr>
      <t>Giardia</t>
    </r>
  </si>
  <si>
    <t xml:space="preserve">   CT Achieved</t>
  </si>
  <si>
    <t>Lenth of pipe needed for 100% in S5</t>
  </si>
  <si>
    <t>Depth of clearwell needed for 100% in S1</t>
  </si>
  <si>
    <t>Enter Date</t>
  </si>
  <si>
    <t>Enter PWS# and Plant Name</t>
  </si>
  <si>
    <t>min./ft</t>
  </si>
  <si>
    <t>minutes</t>
  </si>
  <si>
    <t>Diameter</t>
  </si>
  <si>
    <t xml:space="preserve">ability to comply with CT inactivation to meet the requirements of the </t>
  </si>
  <si>
    <t>Instructions and Information:</t>
  </si>
  <si>
    <t>All highlighted cells are available for data entry or data selection.</t>
  </si>
  <si>
    <t>All other cells are fixed or provide results</t>
  </si>
  <si>
    <t>This program was developed by Lance A. Jones, P.E. with the Arkansas Department of Health - Engineering Section for use by water treatment plant operators, design engineers as well as regulatory and technical assistance personnel to evaluate the ability for disfinfection practices of water treatment plants to meet the CT requirements of the 'Surface Water Treatment Rule' and 'Ground Water Rule' as part of the Federal Safe Drinking Water Act.</t>
  </si>
  <si>
    <t>a) Volume (in gallons) of the clearwell per foot of depth.</t>
  </si>
  <si>
    <t>b) Detention time (in minutes) per foot of clearwell depth.</t>
  </si>
  <si>
    <t>c) Approved T10 minutes for the clearwell (based on a fixed depth)</t>
  </si>
  <si>
    <t>3. If using a clearwell, enter one of the following in the right side of the Segment 1 data:</t>
  </si>
  <si>
    <t>4. If using a pipeline, enter one of the following in the right side of the Segment 5 data:</t>
  </si>
  <si>
    <t>a) Diameter (in inches) of the pipeline.</t>
  </si>
  <si>
    <t>b) Detention time (in minutes) per foot of pipeline length.</t>
  </si>
  <si>
    <t>c) Approved T10 minutes for the pipeline (based on a fixed length)</t>
  </si>
  <si>
    <t xml:space="preserve">This includes the segment name, type and residual of the disinfectant, temperature, pH, volume, </t>
  </si>
  <si>
    <t>baffle factor, associated flow rate.</t>
  </si>
  <si>
    <t>For Questions please contact the Engineering Section at 501-661-2623</t>
  </si>
  <si>
    <t>This program is a tool to evaluate the operational parameters of water treatment plant's</t>
  </si>
  <si>
    <t>2. Enter or select data for all applicable segments (they do not have to be in actual order of treatment)</t>
  </si>
  <si>
    <t>Associated Flow Rate</t>
  </si>
  <si>
    <t>Baffle Factor</t>
  </si>
  <si>
    <t>-log Inactivation</t>
  </si>
  <si>
    <t>The program will calculate the minimum clearwell depth required to meet 100% CT compliance based on the other parameters remaining constant. (Options a &amp; b only)</t>
  </si>
  <si>
    <t>The program will calculate the minimum pipeline length required to meet 100% CT compliance based on the other parameters remaining constant. (Options a &amp; b only)</t>
  </si>
  <si>
    <t>PIPELINE</t>
  </si>
  <si>
    <t>Volume / ft</t>
  </si>
  <si>
    <t xml:space="preserve">    OR Select 'Volume' and enter the pipeline volume in gal.</t>
  </si>
  <si>
    <t xml:space="preserve">    OR Select 'Volume / ft' and enter the pipeline volume per foot of length in gal.</t>
  </si>
  <si>
    <t>NOTE:  If condition b) is entered it will overide condition a), Condition c) will overide a) and b)</t>
  </si>
  <si>
    <t>Macros are only needed for the automated data entry clear function.  Program will work without macros but</t>
  </si>
  <si>
    <t>will require manual clearing of data entry prior to a new calculation.</t>
  </si>
  <si>
    <t>Version 1.1</t>
  </si>
  <si>
    <t xml:space="preserve">Required Cl2 for 100% Giardia CT </t>
  </si>
  <si>
    <t>cl2calc</t>
  </si>
  <si>
    <t xml:space="preserve">Required ClO for 100% Giardia CT </t>
  </si>
  <si>
    <t>Required ClO for 100% Virus CT</t>
  </si>
  <si>
    <t xml:space="preserve">Required Ozone for 100% Giardia CT </t>
  </si>
  <si>
    <t xml:space="preserve">Required Ozone for 100% Virus CT </t>
  </si>
  <si>
    <t>clocalc</t>
  </si>
  <si>
    <t>o3calc</t>
  </si>
  <si>
    <t xml:space="preserve">Required Chloramine for 100% Giardia CT </t>
  </si>
  <si>
    <t xml:space="preserve">Required Chloramine for 100% Virus CT </t>
  </si>
  <si>
    <t>ClNHRg</t>
  </si>
  <si>
    <t>ClNHRv</t>
  </si>
  <si>
    <t>clnhcalc</t>
  </si>
  <si>
    <t>Depth/Length</t>
  </si>
  <si>
    <t>Needed for 100% CT</t>
  </si>
  <si>
    <t>Update History</t>
  </si>
  <si>
    <t>Corrected interpolation for Giardia CT between 1.6 and 1.8 Cl2 residual and revised required residual,</t>
  </si>
  <si>
    <t>depth &amp; length to value needed for combined 100% vs individual segment. Added comments to</t>
  </si>
  <si>
    <t>clearwell and pipeline segments if multiple volume/time data entered. LAJ</t>
  </si>
  <si>
    <t>Version 1.2</t>
  </si>
  <si>
    <t>Corrected formating to report required residual, depth &amp; length if only Giardia or Virus compliance</t>
  </si>
  <si>
    <t>needed vs both. LAJ</t>
  </si>
  <si>
    <t>UV Dose Table</t>
  </si>
  <si>
    <t>log Category</t>
  </si>
  <si>
    <t>3.5-log</t>
  </si>
  <si>
    <t>Crypto</t>
  </si>
  <si>
    <t>Crypto CT Table for Ozone</t>
  </si>
  <si>
    <t>Crypto log Category</t>
  </si>
  <si>
    <t>0.25-log</t>
  </si>
  <si>
    <t>Crypto CT Table for Chlorine Dioxide</t>
  </si>
  <si>
    <t>Crypto CT Table</t>
  </si>
  <si>
    <t>ClOLog C category 1</t>
  </si>
  <si>
    <t>ClOLog C category 2</t>
  </si>
  <si>
    <t>Temp catergory C1 S1</t>
  </si>
  <si>
    <t>Temp catergory C2 S1</t>
  </si>
  <si>
    <t>Required ClO for 100% Crypto CT</t>
  </si>
  <si>
    <t>ClORc</t>
  </si>
  <si>
    <t>Temp cat a</t>
  </si>
  <si>
    <t>Temp cat b</t>
  </si>
  <si>
    <t xml:space="preserve">Total CT </t>
  </si>
  <si>
    <t>Residuals needed for 100%</t>
  </si>
  <si>
    <t>Actual</t>
  </si>
  <si>
    <t>O3Log C category 1</t>
  </si>
  <si>
    <t>O3Log C category 2</t>
  </si>
  <si>
    <r>
      <t xml:space="preserve">Required </t>
    </r>
    <r>
      <rPr>
        <i/>
        <sz val="10"/>
        <color indexed="20"/>
        <rFont val="Arial"/>
        <family val="2"/>
      </rPr>
      <t>Crypto</t>
    </r>
  </si>
  <si>
    <t>O3Rc</t>
  </si>
  <si>
    <t>Version 1.3</t>
  </si>
  <si>
    <t>Surface Water Treatment Rules' and 'Ground Water Rule'</t>
  </si>
  <si>
    <t xml:space="preserve"> (Refer to the CT letter from ADH for inactivation requirements for the specific WTP.)</t>
  </si>
  <si>
    <t>This program utilizes the CT Tables for Chlorine, Chorine Dioxide, Ozone and Chloramines as published in the Safe Drinking Water Act (40 CFR part 141) and the Guidance Manuals for the Surface Water Treatment Rules.</t>
  </si>
  <si>
    <t>temperatures above 25 C.  LAJ</t>
  </si>
  <si>
    <t xml:space="preserve"> Residual &amp;</t>
  </si>
  <si>
    <t xml:space="preserve">Incorporated Cryptosporidium CT for Chlorine Dioxide and Ozone. Allowed CT calculations for </t>
  </si>
  <si>
    <t>Version 1.4</t>
  </si>
  <si>
    <t>Minor corrections in some calculation formulas.  LAJ</t>
  </si>
  <si>
    <t>-ug/l Inactivation</t>
  </si>
  <si>
    <t>Microcystin</t>
  </si>
  <si>
    <t>ug/l</t>
  </si>
  <si>
    <r>
      <rPr>
        <b/>
        <vertAlign val="superscript"/>
        <sz val="10"/>
        <rFont val="Arial"/>
        <family val="2"/>
      </rPr>
      <t>o</t>
    </r>
    <r>
      <rPr>
        <b/>
        <sz val="10"/>
        <rFont val="Arial"/>
        <family val="2"/>
      </rPr>
      <t>C</t>
    </r>
  </si>
  <si>
    <t>pH &lt;=6</t>
  </si>
  <si>
    <t>pH =7</t>
  </si>
  <si>
    <t>pH =8</t>
  </si>
  <si>
    <t>pH =9</t>
  </si>
  <si>
    <t>3-1</t>
  </si>
  <si>
    <t>3-2</t>
  </si>
  <si>
    <t>4-1</t>
  </si>
  <si>
    <t>4-2</t>
  </si>
  <si>
    <t>CT mg/l*min</t>
  </si>
  <si>
    <t>Incorporated Microcystin CT.  Made some minor formating changes. LAJ</t>
  </si>
  <si>
    <t>Version 1.5</t>
  </si>
  <si>
    <t xml:space="preserve">Microcystin inactivation based on CT table located in the 'Draft White Paper on Cyanotoxin Treatment' </t>
  </si>
  <si>
    <t>August 2015 by AWWA Ohio Section Technology Committee and Ohio EPA.</t>
  </si>
  <si>
    <r>
      <t xml:space="preserve">The program will calculate the CT achieved and % log-inactivation compliance for </t>
    </r>
    <r>
      <rPr>
        <i/>
        <sz val="10"/>
        <rFont val="Arial"/>
        <family val="2"/>
      </rPr>
      <t>Giardia,</t>
    </r>
    <r>
      <rPr>
        <sz val="10"/>
        <rFont val="Arial"/>
        <family val="2"/>
      </rPr>
      <t xml:space="preserve"> </t>
    </r>
    <r>
      <rPr>
        <i/>
        <sz val="10"/>
        <rFont val="Arial"/>
        <family val="2"/>
      </rPr>
      <t>Virus,  Cryptosporidium</t>
    </r>
    <r>
      <rPr>
        <sz val="10"/>
        <rFont val="Arial"/>
        <family val="2"/>
      </rPr>
      <t xml:space="preserve"> and </t>
    </r>
    <r>
      <rPr>
        <i/>
        <sz val="10"/>
        <rFont val="Arial"/>
        <family val="2"/>
      </rPr>
      <t>Microcystin</t>
    </r>
    <r>
      <rPr>
        <sz val="10"/>
        <rFont val="Arial"/>
        <family val="2"/>
      </rPr>
      <t xml:space="preserve"> for each treatment segment and for the total of all segments (If multiple are used).  It will also calculate the disinfectant residual required for each segment (and the required clearwell depth / pipeline length for those segments) to meet 100% CT compliance overall based on the other parameters remaining constant.  </t>
    </r>
  </si>
  <si>
    <r>
      <t xml:space="preserve">1. Enter the associated water treatment flow rates and required log inactivation for </t>
    </r>
    <r>
      <rPr>
        <i/>
        <sz val="10"/>
        <rFont val="Arial"/>
        <family val="2"/>
      </rPr>
      <t>Giardia</t>
    </r>
    <r>
      <rPr>
        <sz val="10"/>
        <rFont val="Arial"/>
        <family val="2"/>
      </rPr>
      <t xml:space="preserve">, </t>
    </r>
    <r>
      <rPr>
        <i/>
        <sz val="10"/>
        <rFont val="Arial"/>
        <family val="2"/>
      </rPr>
      <t>Virus</t>
    </r>
    <r>
      <rPr>
        <sz val="10"/>
        <rFont val="Arial"/>
        <family val="2"/>
      </rPr>
      <t xml:space="preserve">  </t>
    </r>
  </si>
  <si>
    <r>
      <t>Cryptosporidium or concentration of Microcystin</t>
    </r>
    <r>
      <rPr>
        <sz val="10"/>
        <rFont val="Arial"/>
        <family val="2"/>
      </rPr>
      <t xml:space="preserve"> as required for your treatment plant.</t>
    </r>
  </si>
  <si>
    <t>Microcystin CT Cl2 (free)</t>
  </si>
  <si>
    <t>1-0</t>
  </si>
  <si>
    <t>2-0</t>
  </si>
  <si>
    <t>3-0</t>
  </si>
  <si>
    <t>4-0</t>
  </si>
  <si>
    <t>4-3</t>
  </si>
  <si>
    <t>3-3</t>
  </si>
  <si>
    <t>Segment 1 Microcystin CT Ozone</t>
  </si>
  <si>
    <t>CT req.</t>
  </si>
  <si>
    <t>Segment 5 Microcystin CT Ozone</t>
  </si>
  <si>
    <t>Segment 3 Microcystin CT Ozone</t>
  </si>
  <si>
    <t>Segment 4 Microcystin CT Ozone</t>
  </si>
  <si>
    <t>Segment 2 Microcystin CT Ozone</t>
  </si>
  <si>
    <r>
      <rPr>
        <sz val="10"/>
        <rFont val="Arial"/>
        <family val="2"/>
      </rPr>
      <t>Target</t>
    </r>
    <r>
      <rPr>
        <i/>
        <sz val="10"/>
        <color indexed="17"/>
        <rFont val="Arial"/>
        <family val="2"/>
      </rPr>
      <t xml:space="preserve"> </t>
    </r>
    <r>
      <rPr>
        <i/>
        <sz val="10"/>
        <color indexed="17"/>
        <rFont val="Arial"/>
        <family val="2"/>
      </rPr>
      <t>Microcystin</t>
    </r>
  </si>
  <si>
    <t>&amp; Virus</t>
  </si>
  <si>
    <t>Micro-</t>
  </si>
  <si>
    <t>cystins</t>
  </si>
  <si>
    <t>Required Cl2 for 100% Microcystin CT per Segment</t>
  </si>
  <si>
    <t>CL2Rm</t>
  </si>
  <si>
    <t xml:space="preserve">Required Ozone for 100% Microcystin CT </t>
  </si>
  <si>
    <t xml:space="preserve">Required Ozone for 100% Crypto CT </t>
  </si>
  <si>
    <t>O3Rm</t>
  </si>
  <si>
    <t>Temp (C or F)</t>
  </si>
  <si>
    <t>Version 1.51</t>
  </si>
  <si>
    <t>Disabled macros version. LAJ</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</si>
</sst>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
    <numFmt numFmtId="167" formatCode="0.000000"/>
    <numFmt numFmtId="168" formatCode="0.0000"/>
  </numFmts>
  <fonts count="43" x14ac:knownFonts="1">
    <font>
      <sz val="10"/>
      <name val="Arial"/>
    </font>
    <font>
      <sz val="10"/>
      <name val="Arial"/>
      <family val="2"/>
    </font>
    <font>
      <b/>
      <sz val="10"/>
      <name val="Arial"/>
      <family val="2"/>
    </font>
    <font>
      <i/>
      <sz val="10"/>
      <name val="Arial"/>
      <family val="2"/>
    </font>
    <font>
      <sz val="8"/>
      <color indexed="81"/>
      <name val="Tahoma"/>
      <family val="2"/>
    </font>
    <font>
      <b/>
      <sz val="8"/>
      <color indexed="81"/>
      <name val="Tahoma"/>
      <family val="2"/>
    </font>
    <font>
      <sz val="10"/>
      <color indexed="46"/>
      <name val="Arial"/>
      <family val="2"/>
    </font>
    <font>
      <sz val="10"/>
      <name val="Arial"/>
      <family val="2"/>
    </font>
    <font>
      <sz val="10"/>
      <color indexed="10"/>
      <name val="Arial"/>
      <family val="2"/>
    </font>
    <font>
      <b/>
      <sz val="10"/>
      <color indexed="10"/>
      <name val="Arial"/>
      <family val="2"/>
    </font>
    <font>
      <sz val="10"/>
      <color indexed="12"/>
      <name val="Arial"/>
      <family val="2"/>
    </font>
    <font>
      <sz val="8"/>
      <name val="Arial"/>
      <family val="2"/>
    </font>
    <font>
      <i/>
      <sz val="10"/>
      <color indexed="53"/>
      <name val="Arial"/>
      <family val="2"/>
    </font>
    <font>
      <i/>
      <sz val="10"/>
      <color indexed="48"/>
      <name val="Arial"/>
      <family val="2"/>
    </font>
    <font>
      <b/>
      <i/>
      <sz val="10"/>
      <color indexed="48"/>
      <name val="Arial"/>
      <family val="2"/>
    </font>
    <font>
      <b/>
      <i/>
      <sz val="10"/>
      <color indexed="53"/>
      <name val="Arial"/>
      <family val="2"/>
    </font>
    <font>
      <sz val="10"/>
      <color indexed="9"/>
      <name val="Arial"/>
      <family val="2"/>
    </font>
    <font>
      <b/>
      <u/>
      <sz val="10"/>
      <name val="Arial"/>
      <family val="2"/>
    </font>
    <font>
      <sz val="9"/>
      <color indexed="9"/>
      <name val="Arial"/>
      <family val="2"/>
    </font>
    <font>
      <u/>
      <sz val="10"/>
      <name val="Arial"/>
      <family val="2"/>
    </font>
    <font>
      <sz val="10"/>
      <color indexed="8"/>
      <name val="Arial"/>
      <family val="2"/>
    </font>
    <font>
      <sz val="8"/>
      <color indexed="8"/>
      <name val="Arial"/>
      <family val="2"/>
    </font>
    <font>
      <b/>
      <sz val="10"/>
      <color indexed="8"/>
      <name val="Arial"/>
      <family val="2"/>
    </font>
    <font>
      <sz val="7"/>
      <color indexed="8"/>
      <name val="Arial"/>
      <family val="2"/>
    </font>
    <font>
      <sz val="10"/>
      <color indexed="18"/>
      <name val="Arial"/>
      <family val="2"/>
    </font>
    <font>
      <i/>
      <sz val="10"/>
      <color indexed="8"/>
      <name val="Arial"/>
      <family val="2"/>
    </font>
    <font>
      <b/>
      <i/>
      <sz val="10"/>
      <color indexed="20"/>
      <name val="Arial"/>
      <family val="2"/>
    </font>
    <font>
      <i/>
      <sz val="10"/>
      <color indexed="20"/>
      <name val="Arial"/>
      <family val="2"/>
    </font>
    <font>
      <sz val="9"/>
      <color indexed="10"/>
      <name val="Arial"/>
      <family val="2"/>
    </font>
    <font>
      <i/>
      <sz val="10"/>
      <color indexed="17"/>
      <name val="Arial"/>
      <family val="2"/>
    </font>
    <font>
      <sz val="8"/>
      <name val="Arial"/>
      <family val="2"/>
    </font>
    <font>
      <sz val="9"/>
      <name val="Arial"/>
      <family val="2"/>
    </font>
    <font>
      <b/>
      <vertAlign val="superscript"/>
      <sz val="10"/>
      <name val="Arial"/>
      <family val="2"/>
    </font>
    <font>
      <sz val="9"/>
      <color indexed="10"/>
      <name val="Arial"/>
      <family val="2"/>
    </font>
    <font>
      <i/>
      <sz val="10"/>
      <color rgb="FF0070C0"/>
      <name val="Arial"/>
      <family val="2"/>
    </font>
    <font>
      <sz val="10"/>
      <color rgb="FF0070C0"/>
      <name val="Arial"/>
      <family val="2"/>
    </font>
    <font>
      <i/>
      <sz val="10"/>
      <color rgb="FF7030A0"/>
      <name val="Arial"/>
      <family val="2"/>
    </font>
    <font>
      <sz val="10"/>
      <color rgb="FF7030A0"/>
      <name val="Arial"/>
      <family val="2"/>
    </font>
    <font>
      <b/>
      <u/>
      <sz val="10"/>
      <color theme="0"/>
      <name val="Arial"/>
      <family val="2"/>
    </font>
    <font>
      <b/>
      <i/>
      <sz val="10"/>
      <color theme="6" tint="-0.499984740745262"/>
      <name val="Arial"/>
      <family val="2"/>
    </font>
    <font>
      <i/>
      <sz val="10"/>
      <color rgb="FF00B050"/>
      <name val="Arial"/>
      <family val="2"/>
    </font>
    <font>
      <b/>
      <sz val="10"/>
      <color theme="6" tint="-0.499984740745262"/>
      <name val="Arial"/>
      <family val="2"/>
    </font>
    <font>
      <b/>
      <sz val="10"/>
      <color rgb="FF7030A0"/>
      <name val="Arial"/>
      <family val="2"/>
    </font>
  </fonts>
  <fills count="7">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rgb="FFCCFFFF"/>
        <bgColor indexed="64"/>
      </patternFill>
    </fill>
  </fills>
  <borders count="65">
    <border>
      <left/>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633">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2" fillId="0" borderId="10" xfId="0" applyFont="1" applyBorder="1" applyAlignment="1">
      <alignment horizontal="center"/>
    </xf>
    <xf numFmtId="0" fontId="0" fillId="0" borderId="0" xfId="0" applyFill="1" applyBorder="1"/>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2" fillId="0" borderId="15" xfId="0" applyFont="1" applyBorder="1" applyAlignment="1">
      <alignment horizontal="right"/>
    </xf>
    <xf numFmtId="0" fontId="2" fillId="0" borderId="15" xfId="0" applyFont="1" applyBorder="1"/>
    <xf numFmtId="0" fontId="2" fillId="0" borderId="16" xfId="0" applyFont="1" applyBorder="1"/>
    <xf numFmtId="0" fontId="2" fillId="0" borderId="17" xfId="0" applyFont="1" applyBorder="1" applyAlignment="1">
      <alignment horizontal="center"/>
    </xf>
    <xf numFmtId="0" fontId="3" fillId="0" borderId="18" xfId="0" applyFont="1" applyBorder="1" applyAlignment="1">
      <alignment horizontal="center"/>
    </xf>
    <xf numFmtId="0" fontId="0" fillId="0" borderId="0" xfId="0" applyBorder="1" applyAlignment="1">
      <alignment horizontal="center"/>
    </xf>
    <xf numFmtId="0" fontId="0" fillId="0" borderId="19" xfId="0" applyBorder="1"/>
    <xf numFmtId="0" fontId="2" fillId="0" borderId="0" xfId="0" applyFont="1" applyBorder="1" applyAlignment="1">
      <alignment horizontal="center"/>
    </xf>
    <xf numFmtId="0" fontId="2" fillId="0" borderId="0" xfId="0" applyFont="1" applyBorder="1" applyAlignment="1">
      <alignment horizontal="right"/>
    </xf>
    <xf numFmtId="0" fontId="2" fillId="0" borderId="0" xfId="0" applyFont="1" applyBorder="1"/>
    <xf numFmtId="0" fontId="0" fillId="0" borderId="20" xfId="0" applyBorder="1"/>
    <xf numFmtId="0" fontId="0" fillId="0" borderId="15" xfId="0" applyBorder="1"/>
    <xf numFmtId="0" fontId="0" fillId="0" borderId="16" xfId="0" applyBorder="1"/>
    <xf numFmtId="0" fontId="7" fillId="0" borderId="18" xfId="0" applyFont="1" applyBorder="1" applyAlignment="1">
      <alignment horizontal="center"/>
    </xf>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8" fillId="0" borderId="0" xfId="0" applyFont="1" applyFill="1" applyBorder="1"/>
    <xf numFmtId="0" fontId="0" fillId="0" borderId="18" xfId="0" applyBorder="1" applyAlignment="1">
      <alignment horizontal="center"/>
    </xf>
    <xf numFmtId="0" fontId="1" fillId="0" borderId="15" xfId="0" applyFont="1" applyBorder="1"/>
    <xf numFmtId="0" fontId="1" fillId="0" borderId="0" xfId="0" applyFont="1" applyBorder="1"/>
    <xf numFmtId="0" fontId="8" fillId="0" borderId="0" xfId="0" applyFont="1" applyBorder="1"/>
    <xf numFmtId="0" fontId="2" fillId="0" borderId="0" xfId="0" applyFont="1" applyBorder="1" applyAlignment="1"/>
    <xf numFmtId="0" fontId="0" fillId="0" borderId="25" xfId="0" applyBorder="1" applyAlignment="1">
      <alignment horizontal="center"/>
    </xf>
    <xf numFmtId="1" fontId="0" fillId="0" borderId="0" xfId="0" applyNumberFormat="1" applyBorder="1"/>
    <xf numFmtId="10" fontId="0" fillId="0" borderId="0" xfId="0" applyNumberFormat="1" applyBorder="1"/>
    <xf numFmtId="0" fontId="1" fillId="0" borderId="0" xfId="0" applyFont="1" applyBorder="1" applyAlignment="1">
      <alignment horizontal="right"/>
    </xf>
    <xf numFmtId="49" fontId="0" fillId="0" borderId="0" xfId="0" applyNumberFormat="1" applyBorder="1"/>
    <xf numFmtId="0" fontId="2" fillId="0" borderId="0" xfId="0" applyFont="1" applyBorder="1" applyAlignment="1">
      <alignment horizontal="left"/>
    </xf>
    <xf numFmtId="0" fontId="0" fillId="0" borderId="0" xfId="0" applyBorder="1" applyAlignment="1">
      <alignment horizontal="left"/>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7" fillId="0" borderId="0" xfId="0" applyFont="1" applyBorder="1" applyAlignment="1">
      <alignment horizontal="center"/>
    </xf>
    <xf numFmtId="0" fontId="0" fillId="0" borderId="11" xfId="0" applyBorder="1"/>
    <xf numFmtId="0" fontId="0" fillId="0" borderId="18" xfId="0" applyBorder="1"/>
    <xf numFmtId="0" fontId="0" fillId="0" borderId="29" xfId="0" applyBorder="1"/>
    <xf numFmtId="0" fontId="0" fillId="0" borderId="29" xfId="0" applyFill="1" applyBorder="1"/>
    <xf numFmtId="0" fontId="7" fillId="0" borderId="0" xfId="0" applyFont="1" applyBorder="1" applyAlignment="1">
      <alignment horizontal="right"/>
    </xf>
    <xf numFmtId="0" fontId="7" fillId="0" borderId="0" xfId="0" applyFont="1" applyBorder="1"/>
    <xf numFmtId="0" fontId="0" fillId="0" borderId="19" xfId="0" applyBorder="1" applyAlignment="1">
      <alignment horizontal="center"/>
    </xf>
    <xf numFmtId="0" fontId="0" fillId="0" borderId="15" xfId="0" applyBorder="1" applyAlignment="1">
      <alignment horizontal="center"/>
    </xf>
    <xf numFmtId="0" fontId="0" fillId="0" borderId="21" xfId="0" applyBorder="1" applyAlignment="1">
      <alignment horizontal="center"/>
    </xf>
    <xf numFmtId="0" fontId="0" fillId="0" borderId="30" xfId="0" applyBorder="1" applyAlignment="1">
      <alignment horizontal="center"/>
    </xf>
    <xf numFmtId="165" fontId="0" fillId="0" borderId="21" xfId="0" applyNumberFormat="1" applyBorder="1" applyAlignment="1">
      <alignment horizontal="center"/>
    </xf>
    <xf numFmtId="165" fontId="0" fillId="0" borderId="25" xfId="0" applyNumberFormat="1" applyBorder="1" applyAlignment="1">
      <alignment horizontal="center"/>
    </xf>
    <xf numFmtId="165" fontId="0" fillId="0" borderId="10" xfId="0" applyNumberFormat="1" applyBorder="1" applyAlignment="1">
      <alignment horizontal="center"/>
    </xf>
    <xf numFmtId="2" fontId="2" fillId="0" borderId="18" xfId="0" applyNumberFormat="1" applyFont="1" applyBorder="1" applyAlignment="1">
      <alignment horizontal="center"/>
    </xf>
    <xf numFmtId="0" fontId="0" fillId="0" borderId="23" xfId="0" applyBorder="1" applyAlignment="1">
      <alignment horizontal="center"/>
    </xf>
    <xf numFmtId="0" fontId="0" fillId="0" borderId="31" xfId="0" applyBorder="1" applyAlignment="1">
      <alignment horizontal="center"/>
    </xf>
    <xf numFmtId="165" fontId="0" fillId="0" borderId="23" xfId="0" applyNumberFormat="1" applyBorder="1" applyAlignment="1">
      <alignment horizontal="center"/>
    </xf>
    <xf numFmtId="165" fontId="0" fillId="0" borderId="19" xfId="0" applyNumberFormat="1" applyBorder="1" applyAlignment="1">
      <alignment horizontal="center"/>
    </xf>
    <xf numFmtId="165" fontId="0" fillId="0" borderId="17" xfId="0" applyNumberFormat="1" applyBorder="1" applyAlignment="1">
      <alignment horizontal="center"/>
    </xf>
    <xf numFmtId="0" fontId="0" fillId="0" borderId="22" xfId="0" applyBorder="1" applyAlignment="1">
      <alignment horizontal="center"/>
    </xf>
    <xf numFmtId="0" fontId="0" fillId="0" borderId="2" xfId="0" applyBorder="1" applyAlignment="1">
      <alignment horizontal="center"/>
    </xf>
    <xf numFmtId="0" fontId="0" fillId="0" borderId="24" xfId="0" applyBorder="1" applyAlignment="1">
      <alignment horizontal="center"/>
    </xf>
    <xf numFmtId="0" fontId="0" fillId="0" borderId="1" xfId="0" applyBorder="1" applyAlignment="1">
      <alignment horizontal="center"/>
    </xf>
    <xf numFmtId="165" fontId="0" fillId="0" borderId="0" xfId="0" applyNumberFormat="1" applyBorder="1" applyAlignment="1">
      <alignment horizontal="center"/>
    </xf>
    <xf numFmtId="165" fontId="0" fillId="0" borderId="22" xfId="0" applyNumberFormat="1" applyBorder="1" applyAlignment="1">
      <alignment horizontal="center"/>
    </xf>
    <xf numFmtId="165" fontId="0" fillId="0" borderId="1" xfId="0" applyNumberFormat="1" applyBorder="1" applyAlignment="1">
      <alignment horizontal="center"/>
    </xf>
    <xf numFmtId="165" fontId="0" fillId="0" borderId="2" xfId="0" applyNumberFormat="1" applyBorder="1" applyAlignment="1">
      <alignment horizontal="center"/>
    </xf>
    <xf numFmtId="165" fontId="0" fillId="0" borderId="24" xfId="0" applyNumberFormat="1" applyBorder="1" applyAlignment="1">
      <alignment horizontal="center"/>
    </xf>
    <xf numFmtId="0" fontId="0" fillId="0" borderId="0" xfId="0" applyFill="1" applyBorder="1" applyAlignment="1">
      <alignment horizontal="center"/>
    </xf>
    <xf numFmtId="165" fontId="0" fillId="0" borderId="29" xfId="0" applyNumberFormat="1" applyBorder="1" applyAlignment="1">
      <alignment horizontal="center"/>
    </xf>
    <xf numFmtId="165" fontId="0" fillId="0" borderId="1" xfId="0" applyNumberFormat="1" applyBorder="1"/>
    <xf numFmtId="165" fontId="0" fillId="0" borderId="23" xfId="0" applyNumberFormat="1" applyBorder="1"/>
    <xf numFmtId="0" fontId="2" fillId="0" borderId="22" xfId="0" applyFont="1" applyBorder="1" applyAlignment="1">
      <alignment horizontal="right"/>
    </xf>
    <xf numFmtId="0" fontId="2" fillId="0" borderId="2" xfId="0" applyFont="1" applyBorder="1"/>
    <xf numFmtId="0" fontId="2" fillId="0" borderId="24" xfId="0" applyFont="1" applyBorder="1"/>
    <xf numFmtId="2" fontId="0" fillId="0" borderId="2" xfId="0" applyNumberFormat="1" applyBorder="1"/>
    <xf numFmtId="2" fontId="0" fillId="0" borderId="24" xfId="0" applyNumberFormat="1" applyBorder="1"/>
    <xf numFmtId="165" fontId="7" fillId="0" borderId="10" xfId="0" applyNumberFormat="1" applyFont="1" applyBorder="1" applyAlignment="1">
      <alignment horizontal="center"/>
    </xf>
    <xf numFmtId="165" fontId="7" fillId="0" borderId="29" xfId="0" applyNumberFormat="1" applyFont="1" applyBorder="1" applyAlignment="1">
      <alignment horizontal="center"/>
    </xf>
    <xf numFmtId="165" fontId="7" fillId="0" borderId="22" xfId="0" applyNumberFormat="1" applyFont="1" applyBorder="1" applyAlignment="1">
      <alignment horizontal="center"/>
    </xf>
    <xf numFmtId="165" fontId="7" fillId="0" borderId="24" xfId="0" applyNumberFormat="1" applyFont="1" applyBorder="1" applyAlignment="1">
      <alignment horizontal="center"/>
    </xf>
    <xf numFmtId="165" fontId="7" fillId="0" borderId="32" xfId="0" applyNumberFormat="1" applyFont="1" applyBorder="1" applyAlignment="1">
      <alignment horizontal="center"/>
    </xf>
    <xf numFmtId="165" fontId="7" fillId="0" borderId="33" xfId="0" applyNumberFormat="1" applyFont="1" applyBorder="1" applyAlignment="1">
      <alignment horizontal="center"/>
    </xf>
    <xf numFmtId="165" fontId="7" fillId="0" borderId="34" xfId="0" applyNumberFormat="1" applyFont="1" applyBorder="1" applyAlignment="1">
      <alignment horizontal="center"/>
    </xf>
    <xf numFmtId="165" fontId="7" fillId="0" borderId="17" xfId="0" applyNumberFormat="1" applyFont="1" applyBorder="1" applyAlignment="1">
      <alignment horizontal="center"/>
    </xf>
    <xf numFmtId="165" fontId="7" fillId="0" borderId="21" xfId="0" applyNumberFormat="1" applyFont="1" applyBorder="1" applyAlignment="1">
      <alignment horizontal="center"/>
    </xf>
    <xf numFmtId="165" fontId="7" fillId="0" borderId="25" xfId="0" applyNumberFormat="1" applyFont="1" applyBorder="1" applyAlignment="1">
      <alignment horizontal="center"/>
    </xf>
    <xf numFmtId="165" fontId="7" fillId="0" borderId="1" xfId="0" applyNumberFormat="1" applyFont="1" applyBorder="1" applyAlignment="1">
      <alignment horizontal="center"/>
    </xf>
    <xf numFmtId="165" fontId="7" fillId="0" borderId="0" xfId="0" applyNumberFormat="1" applyFont="1" applyBorder="1" applyAlignment="1">
      <alignment horizontal="center"/>
    </xf>
    <xf numFmtId="165" fontId="7" fillId="0" borderId="23" xfId="0" applyNumberFormat="1" applyFont="1" applyBorder="1" applyAlignment="1">
      <alignment horizontal="center"/>
    </xf>
    <xf numFmtId="0" fontId="0" fillId="0" borderId="19" xfId="0" applyFill="1" applyBorder="1"/>
    <xf numFmtId="165" fontId="0" fillId="0" borderId="21" xfId="0" applyNumberFormat="1" applyBorder="1"/>
    <xf numFmtId="2" fontId="0" fillId="0" borderId="22" xfId="0" applyNumberFormat="1" applyBorder="1"/>
    <xf numFmtId="0" fontId="7" fillId="0" borderId="1" xfId="0" applyFont="1" applyBorder="1" applyAlignment="1">
      <alignment horizontal="center"/>
    </xf>
    <xf numFmtId="0" fontId="7" fillId="0" borderId="2" xfId="0" applyFont="1" applyBorder="1" applyAlignment="1">
      <alignment horizontal="center"/>
    </xf>
    <xf numFmtId="165" fontId="7" fillId="0" borderId="2" xfId="0" applyNumberFormat="1" applyFont="1" applyBorder="1" applyAlignment="1">
      <alignment horizontal="center"/>
    </xf>
    <xf numFmtId="165" fontId="7" fillId="0" borderId="19" xfId="0" applyNumberFormat="1" applyFont="1" applyBorder="1" applyAlignment="1">
      <alignment horizontal="center"/>
    </xf>
    <xf numFmtId="0" fontId="0" fillId="0" borderId="26" xfId="0" applyFill="1" applyBorder="1" applyAlignment="1">
      <alignment horizontal="center"/>
    </xf>
    <xf numFmtId="165" fontId="7" fillId="0" borderId="10" xfId="0" applyNumberFormat="1" applyFont="1" applyFill="1" applyBorder="1" applyAlignment="1">
      <alignment horizontal="center"/>
    </xf>
    <xf numFmtId="165" fontId="7" fillId="0" borderId="29" xfId="0" applyNumberFormat="1" applyFont="1" applyFill="1" applyBorder="1" applyAlignment="1">
      <alignment horizontal="center"/>
    </xf>
    <xf numFmtId="165" fontId="7" fillId="0" borderId="17" xfId="0" applyNumberFormat="1" applyFont="1" applyFill="1" applyBorder="1" applyAlignment="1">
      <alignment horizontal="center"/>
    </xf>
    <xf numFmtId="0" fontId="0" fillId="0" borderId="27" xfId="0" applyFill="1" applyBorder="1" applyAlignment="1">
      <alignment horizontal="center"/>
    </xf>
    <xf numFmtId="0" fontId="0" fillId="0" borderId="28" xfId="0" applyFill="1" applyBorder="1" applyAlignment="1">
      <alignment horizontal="center"/>
    </xf>
    <xf numFmtId="0" fontId="0" fillId="0" borderId="21" xfId="0" applyFill="1" applyBorder="1" applyAlignment="1">
      <alignment horizontal="center"/>
    </xf>
    <xf numFmtId="0" fontId="0" fillId="0" borderId="25" xfId="0" applyFill="1" applyBorder="1" applyAlignment="1">
      <alignment horizontal="center"/>
    </xf>
    <xf numFmtId="0" fontId="0" fillId="0" borderId="22" xfId="0" applyFill="1" applyBorder="1" applyAlignment="1">
      <alignment horizontal="center"/>
    </xf>
    <xf numFmtId="0" fontId="0" fillId="0" borderId="23" xfId="0" applyFill="1" applyBorder="1" applyAlignment="1">
      <alignment horizontal="center"/>
    </xf>
    <xf numFmtId="0" fontId="0" fillId="0" borderId="19" xfId="0" applyFill="1" applyBorder="1" applyAlignment="1">
      <alignment horizontal="center"/>
    </xf>
    <xf numFmtId="0" fontId="0" fillId="0" borderId="24" xfId="0" applyFill="1" applyBorder="1" applyAlignment="1">
      <alignment horizontal="center"/>
    </xf>
    <xf numFmtId="0" fontId="1" fillId="0" borderId="8" xfId="0" applyFont="1" applyBorder="1"/>
    <xf numFmtId="2" fontId="0" fillId="0" borderId="25" xfId="0" applyNumberFormat="1" applyBorder="1"/>
    <xf numFmtId="2" fontId="0" fillId="0" borderId="0" xfId="0" applyNumberFormat="1" applyBorder="1"/>
    <xf numFmtId="2" fontId="0" fillId="0" borderId="19" xfId="0" applyNumberFormat="1" applyBorder="1"/>
    <xf numFmtId="0" fontId="0" fillId="0" borderId="32" xfId="0" applyBorder="1"/>
    <xf numFmtId="49" fontId="0" fillId="0" borderId="11" xfId="0" applyNumberFormat="1" applyBorder="1"/>
    <xf numFmtId="49" fontId="0" fillId="0" borderId="35" xfId="0" applyNumberFormat="1" applyBorder="1"/>
    <xf numFmtId="49" fontId="0" fillId="0" borderId="36" xfId="0" applyNumberFormat="1" applyBorder="1"/>
    <xf numFmtId="0" fontId="0" fillId="0" borderId="0" xfId="0" applyNumberFormat="1" applyBorder="1" applyAlignment="1">
      <alignment horizontal="center"/>
    </xf>
    <xf numFmtId="0" fontId="0" fillId="0" borderId="10" xfId="0" applyBorder="1"/>
    <xf numFmtId="0" fontId="0" fillId="0" borderId="17" xfId="0" applyFill="1" applyBorder="1"/>
    <xf numFmtId="2" fontId="0" fillId="0" borderId="20" xfId="0" applyNumberFormat="1" applyBorder="1"/>
    <xf numFmtId="2" fontId="0" fillId="0" borderId="16" xfId="0" applyNumberFormat="1" applyBorder="1"/>
    <xf numFmtId="0" fontId="0" fillId="0" borderId="0" xfId="0" applyProtection="1"/>
    <xf numFmtId="0" fontId="6" fillId="0" borderId="0" xfId="0" applyFont="1" applyProtection="1"/>
    <xf numFmtId="0" fontId="0" fillId="0" borderId="0" xfId="0" applyBorder="1" applyProtection="1"/>
    <xf numFmtId="0" fontId="0" fillId="2" borderId="37" xfId="0" applyFill="1" applyBorder="1" applyProtection="1">
      <protection locked="0"/>
    </xf>
    <xf numFmtId="0" fontId="0" fillId="2" borderId="34" xfId="0" applyFill="1" applyBorder="1" applyProtection="1">
      <protection locked="0"/>
    </xf>
    <xf numFmtId="0" fontId="0" fillId="2" borderId="32" xfId="0" applyFill="1" applyBorder="1" applyProtection="1">
      <protection locked="0"/>
    </xf>
    <xf numFmtId="0" fontId="0" fillId="2" borderId="33" xfId="0" applyFill="1" applyBorder="1" applyProtection="1">
      <protection locked="0"/>
    </xf>
    <xf numFmtId="0" fontId="0" fillId="2" borderId="28" xfId="0" applyFill="1" applyBorder="1" applyProtection="1">
      <protection locked="0"/>
    </xf>
    <xf numFmtId="0" fontId="1" fillId="0" borderId="0" xfId="0" applyFont="1" applyFill="1" applyBorder="1"/>
    <xf numFmtId="0" fontId="0" fillId="0" borderId="0" xfId="0" applyAlignment="1"/>
    <xf numFmtId="0" fontId="0" fillId="0" borderId="37" xfId="0" applyBorder="1" applyAlignment="1">
      <alignment horizontal="center"/>
    </xf>
    <xf numFmtId="0" fontId="0" fillId="0" borderId="26" xfId="0" applyBorder="1" applyAlignment="1"/>
    <xf numFmtId="0" fontId="0" fillId="0" borderId="0" xfId="0" applyBorder="1" applyAlignment="1"/>
    <xf numFmtId="0" fontId="0" fillId="0" borderId="37" xfId="0" applyBorder="1" applyAlignment="1"/>
    <xf numFmtId="0" fontId="0" fillId="0" borderId="33" xfId="0" applyBorder="1"/>
    <xf numFmtId="0" fontId="0" fillId="0" borderId="34" xfId="0" applyBorder="1"/>
    <xf numFmtId="0" fontId="0" fillId="0" borderId="4" xfId="0" applyBorder="1" applyProtection="1"/>
    <xf numFmtId="0" fontId="0" fillId="0" borderId="15" xfId="0" applyBorder="1" applyProtection="1"/>
    <xf numFmtId="0" fontId="0" fillId="0" borderId="6" xfId="0" applyBorder="1" applyProtection="1"/>
    <xf numFmtId="0" fontId="0" fillId="0" borderId="16" xfId="0" applyBorder="1" applyProtection="1"/>
    <xf numFmtId="0" fontId="0" fillId="2" borderId="38" xfId="0" applyFill="1" applyBorder="1" applyProtection="1">
      <protection locked="0"/>
    </xf>
    <xf numFmtId="0" fontId="0" fillId="0" borderId="20" xfId="0" applyBorder="1" applyProtection="1"/>
    <xf numFmtId="0" fontId="0" fillId="0" borderId="17" xfId="0" applyBorder="1"/>
    <xf numFmtId="0" fontId="0" fillId="0" borderId="4" xfId="0" applyBorder="1" applyAlignment="1">
      <alignment horizontal="center"/>
    </xf>
    <xf numFmtId="0" fontId="0" fillId="0" borderId="8" xfId="0" applyBorder="1" applyAlignment="1">
      <alignment horizontal="center"/>
    </xf>
    <xf numFmtId="0" fontId="0" fillId="0" borderId="4" xfId="0" applyFill="1" applyBorder="1"/>
    <xf numFmtId="0" fontId="0" fillId="0" borderId="8" xfId="0" applyFill="1" applyBorder="1"/>
    <xf numFmtId="0" fontId="0" fillId="0" borderId="39" xfId="0" applyBorder="1"/>
    <xf numFmtId="0" fontId="0" fillId="0" borderId="40" xfId="0" applyBorder="1"/>
    <xf numFmtId="0" fontId="0" fillId="0" borderId="41" xfId="0" applyBorder="1"/>
    <xf numFmtId="0" fontId="0" fillId="0" borderId="40" xfId="0" applyFill="1" applyBorder="1"/>
    <xf numFmtId="0" fontId="0" fillId="0" borderId="42" xfId="0" applyFill="1" applyBorder="1"/>
    <xf numFmtId="0" fontId="0" fillId="0" borderId="43" xfId="0" applyBorder="1" applyAlignment="1">
      <alignment horizontal="center"/>
    </xf>
    <xf numFmtId="0" fontId="0" fillId="0" borderId="43" xfId="0" applyBorder="1"/>
    <xf numFmtId="49" fontId="0" fillId="0" borderId="1" xfId="0" applyNumberFormat="1" applyBorder="1" applyAlignment="1">
      <alignment horizontal="center"/>
    </xf>
    <xf numFmtId="49" fontId="0" fillId="0" borderId="23" xfId="0" applyNumberFormat="1" applyBorder="1" applyAlignment="1">
      <alignment horizontal="center"/>
    </xf>
    <xf numFmtId="49" fontId="0" fillId="0" borderId="34" xfId="0" applyNumberFormat="1"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165" fontId="0" fillId="0" borderId="21" xfId="0" applyNumberFormat="1" applyFill="1" applyBorder="1" applyAlignment="1">
      <alignment horizontal="center"/>
    </xf>
    <xf numFmtId="165" fontId="0" fillId="0" borderId="25" xfId="0" applyNumberFormat="1" applyFill="1" applyBorder="1" applyAlignment="1">
      <alignment horizontal="center"/>
    </xf>
    <xf numFmtId="165" fontId="0" fillId="0" borderId="10" xfId="0" applyNumberFormat="1" applyFill="1" applyBorder="1" applyAlignment="1">
      <alignment horizontal="center"/>
    </xf>
    <xf numFmtId="165" fontId="0" fillId="0" borderId="23" xfId="0" applyNumberFormat="1" applyFill="1" applyBorder="1" applyAlignment="1">
      <alignment horizontal="center"/>
    </xf>
    <xf numFmtId="165" fontId="0" fillId="0" borderId="19" xfId="0" applyNumberFormat="1" applyFill="1" applyBorder="1" applyAlignment="1">
      <alignment horizontal="center"/>
    </xf>
    <xf numFmtId="165" fontId="0" fillId="0" borderId="17" xfId="0" applyNumberFormat="1" applyFill="1" applyBorder="1" applyAlignment="1">
      <alignment horizontal="center"/>
    </xf>
    <xf numFmtId="165" fontId="0" fillId="0" borderId="0" xfId="0" applyNumberFormat="1" applyFill="1" applyBorder="1" applyAlignment="1">
      <alignment horizontal="center"/>
    </xf>
    <xf numFmtId="165" fontId="2" fillId="0" borderId="18" xfId="0" applyNumberFormat="1" applyFont="1" applyFill="1" applyBorder="1" applyAlignment="1">
      <alignment horizontal="center"/>
    </xf>
    <xf numFmtId="0" fontId="0" fillId="0" borderId="30" xfId="0" applyBorder="1"/>
    <xf numFmtId="0" fontId="0" fillId="0" borderId="31" xfId="0" applyBorder="1"/>
    <xf numFmtId="0" fontId="0" fillId="0" borderId="9" xfId="0" applyBorder="1" applyAlignment="1">
      <alignment horizontal="center"/>
    </xf>
    <xf numFmtId="10" fontId="0" fillId="0" borderId="4" xfId="0" applyNumberFormat="1" applyBorder="1"/>
    <xf numFmtId="10" fontId="0" fillId="0" borderId="8" xfId="0" applyNumberFormat="1" applyBorder="1" applyAlignment="1">
      <alignment horizontal="right"/>
    </xf>
    <xf numFmtId="0" fontId="10" fillId="0" borderId="0" xfId="0" applyFont="1" applyFill="1" applyBorder="1"/>
    <xf numFmtId="0" fontId="10" fillId="0" borderId="1" xfId="0" applyFont="1" applyBorder="1"/>
    <xf numFmtId="10" fontId="0" fillId="0" borderId="0" xfId="0" applyNumberFormat="1" applyFill="1" applyBorder="1"/>
    <xf numFmtId="0" fontId="0" fillId="0" borderId="2" xfId="0" applyFill="1" applyBorder="1"/>
    <xf numFmtId="0" fontId="0" fillId="0" borderId="33" xfId="0" applyFill="1" applyBorder="1"/>
    <xf numFmtId="0" fontId="0" fillId="0" borderId="24" xfId="0" applyFill="1" applyBorder="1"/>
    <xf numFmtId="2" fontId="0" fillId="3" borderId="37" xfId="0" applyNumberFormat="1" applyFill="1" applyBorder="1" applyProtection="1">
      <protection locked="0"/>
    </xf>
    <xf numFmtId="0" fontId="0" fillId="0" borderId="0" xfId="0" applyFill="1" applyBorder="1" applyProtection="1">
      <protection locked="0"/>
    </xf>
    <xf numFmtId="0" fontId="0" fillId="2" borderId="40" xfId="0" applyFill="1" applyBorder="1" applyProtection="1">
      <protection locked="0"/>
    </xf>
    <xf numFmtId="0" fontId="0" fillId="2" borderId="40" xfId="0" applyFill="1" applyBorder="1" applyAlignment="1" applyProtection="1">
      <alignment horizontal="center"/>
      <protection locked="0"/>
    </xf>
    <xf numFmtId="0" fontId="11" fillId="0" borderId="37" xfId="0" applyFont="1" applyBorder="1" applyAlignment="1">
      <alignment horizontal="center"/>
    </xf>
    <xf numFmtId="0" fontId="11" fillId="0" borderId="26" xfId="0" applyFont="1" applyBorder="1" applyAlignment="1">
      <alignment horizontal="center"/>
    </xf>
    <xf numFmtId="0" fontId="1" fillId="0" borderId="26" xfId="0" applyFont="1" applyBorder="1" applyAlignment="1">
      <alignment horizontal="center"/>
    </xf>
    <xf numFmtId="0" fontId="1" fillId="0" borderId="37" xfId="0" applyFont="1" applyBorder="1" applyAlignment="1">
      <alignment horizontal="center"/>
    </xf>
    <xf numFmtId="49" fontId="0" fillId="0" borderId="0" xfId="0" applyNumberFormat="1" applyBorder="1" applyAlignment="1">
      <alignment horizontal="center"/>
    </xf>
    <xf numFmtId="0" fontId="11" fillId="0" borderId="0" xfId="0" applyFont="1" applyBorder="1" applyAlignment="1">
      <alignment horizontal="center"/>
    </xf>
    <xf numFmtId="0" fontId="2" fillId="0" borderId="4" xfId="0" applyFont="1" applyBorder="1"/>
    <xf numFmtId="0" fontId="0" fillId="0" borderId="15" xfId="0" applyBorder="1" applyAlignment="1"/>
    <xf numFmtId="0" fontId="2" fillId="0" borderId="8" xfId="0" applyFont="1" applyBorder="1"/>
    <xf numFmtId="166" fontId="1" fillId="0" borderId="0" xfId="0" applyNumberFormat="1" applyFont="1" applyProtection="1"/>
    <xf numFmtId="166" fontId="0" fillId="0" borderId="0" xfId="0" applyNumberFormat="1" applyProtection="1">
      <protection hidden="1"/>
    </xf>
    <xf numFmtId="0" fontId="0" fillId="0" borderId="6" xfId="0" applyBorder="1" applyAlignment="1">
      <alignment horizont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1" fillId="0" borderId="0" xfId="0" applyFont="1" applyBorder="1" applyAlignment="1"/>
    <xf numFmtId="0" fontId="0" fillId="0" borderId="1" xfId="0" applyNumberFormat="1" applyBorder="1" applyAlignment="1">
      <alignment horizontal="center"/>
    </xf>
    <xf numFmtId="0" fontId="0" fillId="0" borderId="23" xfId="0" applyNumberFormat="1" applyBorder="1" applyAlignment="1">
      <alignment horizontal="center"/>
    </xf>
    <xf numFmtId="0" fontId="0" fillId="0" borderId="34" xfId="0" applyNumberFormat="1" applyBorder="1" applyAlignment="1">
      <alignment horizontal="center"/>
    </xf>
    <xf numFmtId="0" fontId="0" fillId="0" borderId="32" xfId="0" applyNumberFormat="1" applyBorder="1"/>
    <xf numFmtId="0" fontId="0" fillId="0" borderId="0" xfId="0" applyBorder="1" applyAlignment="1">
      <alignment horizontal="right"/>
    </xf>
    <xf numFmtId="0" fontId="0" fillId="0" borderId="0" xfId="0" applyNumberFormat="1" applyBorder="1" applyAlignment="1">
      <alignment horizontal="right"/>
    </xf>
    <xf numFmtId="165" fontId="0" fillId="0" borderId="32" xfId="0" applyNumberFormat="1" applyFill="1" applyBorder="1" applyAlignment="1">
      <alignment horizontal="center"/>
    </xf>
    <xf numFmtId="165" fontId="0" fillId="0" borderId="34" xfId="0" applyNumberFormat="1" applyFill="1" applyBorder="1" applyAlignment="1">
      <alignment horizontal="center"/>
    </xf>
    <xf numFmtId="0" fontId="1" fillId="0" borderId="25" xfId="0" applyFont="1" applyBorder="1" applyAlignment="1"/>
    <xf numFmtId="165" fontId="0" fillId="0" borderId="6" xfId="0" applyNumberFormat="1" applyFill="1" applyBorder="1" applyAlignment="1">
      <alignment horizontal="center"/>
    </xf>
    <xf numFmtId="0" fontId="2" fillId="0" borderId="6" xfId="0" applyFont="1" applyBorder="1" applyAlignment="1"/>
    <xf numFmtId="0" fontId="0" fillId="0" borderId="6" xfId="0" applyBorder="1" applyAlignment="1"/>
    <xf numFmtId="2" fontId="0" fillId="0" borderId="37" xfId="0" applyNumberFormat="1" applyBorder="1" applyAlignment="1">
      <alignment horizontal="center"/>
    </xf>
    <xf numFmtId="10" fontId="2" fillId="0" borderId="11" xfId="0" applyNumberFormat="1" applyFont="1" applyBorder="1" applyAlignment="1">
      <alignment horizontal="center"/>
    </xf>
    <xf numFmtId="10" fontId="2" fillId="0" borderId="18" xfId="0" applyNumberFormat="1" applyFont="1" applyBorder="1" applyAlignment="1">
      <alignment horizontal="center"/>
    </xf>
    <xf numFmtId="0" fontId="0" fillId="0" borderId="27" xfId="0" applyBorder="1" applyAlignment="1"/>
    <xf numFmtId="0" fontId="0" fillId="0" borderId="28" xfId="0" applyBorder="1" applyAlignment="1"/>
    <xf numFmtId="0" fontId="0" fillId="0" borderId="33" xfId="0" applyNumberFormat="1" applyBorder="1"/>
    <xf numFmtId="2" fontId="0" fillId="0" borderId="26" xfId="0" applyNumberFormat="1" applyFill="1" applyBorder="1" applyAlignment="1">
      <alignment horizontal="center"/>
    </xf>
    <xf numFmtId="0" fontId="0" fillId="0" borderId="20" xfId="0" applyFill="1" applyBorder="1"/>
    <xf numFmtId="0" fontId="0" fillId="0" borderId="5" xfId="0" applyFill="1" applyBorder="1"/>
    <xf numFmtId="0" fontId="0" fillId="0" borderId="0" xfId="0" applyFill="1"/>
    <xf numFmtId="0" fontId="0" fillId="0" borderId="15" xfId="0" applyFill="1" applyBorder="1"/>
    <xf numFmtId="0" fontId="0" fillId="0" borderId="6" xfId="0" applyFill="1" applyBorder="1"/>
    <xf numFmtId="0" fontId="0" fillId="0" borderId="0" xfId="0" applyFill="1" applyBorder="1" applyAlignment="1">
      <alignment horizontal="right"/>
    </xf>
    <xf numFmtId="0" fontId="0" fillId="0" borderId="6" xfId="0" applyFill="1" applyBorder="1" applyAlignment="1"/>
    <xf numFmtId="0" fontId="0" fillId="0" borderId="0" xfId="0" applyNumberFormat="1" applyFill="1" applyBorder="1" applyAlignment="1">
      <alignment horizontal="right"/>
    </xf>
    <xf numFmtId="0" fontId="1" fillId="0" borderId="0" xfId="0" applyFont="1" applyFill="1" applyBorder="1" applyAlignment="1"/>
    <xf numFmtId="0" fontId="0" fillId="0" borderId="0" xfId="0" applyFill="1" applyBorder="1" applyAlignment="1"/>
    <xf numFmtId="0" fontId="0" fillId="0" borderId="6" xfId="0" applyFill="1" applyBorder="1" applyAlignment="1">
      <alignment horizontal="center"/>
    </xf>
    <xf numFmtId="0" fontId="1" fillId="0" borderId="0" xfId="0" applyFont="1" applyFill="1" applyBorder="1" applyAlignment="1">
      <alignment horizontal="right"/>
    </xf>
    <xf numFmtId="0" fontId="0" fillId="0" borderId="37" xfId="0" applyFill="1" applyBorder="1" applyAlignment="1">
      <alignment horizontal="center"/>
    </xf>
    <xf numFmtId="0" fontId="1" fillId="0" borderId="25" xfId="0" applyFont="1" applyFill="1" applyBorder="1" applyAlignment="1"/>
    <xf numFmtId="0" fontId="2" fillId="0" borderId="0" xfId="0" applyFont="1" applyFill="1" applyBorder="1" applyAlignment="1"/>
    <xf numFmtId="0" fontId="2" fillId="0" borderId="6" xfId="0" applyFont="1" applyFill="1" applyBorder="1" applyAlignment="1"/>
    <xf numFmtId="0" fontId="0" fillId="0" borderId="16" xfId="0" applyFill="1" applyBorder="1"/>
    <xf numFmtId="0" fontId="0" fillId="0" borderId="9" xfId="0" applyFill="1" applyBorder="1"/>
    <xf numFmtId="0" fontId="2" fillId="0" borderId="0" xfId="0" applyFont="1" applyBorder="1" applyAlignment="1" applyProtection="1"/>
    <xf numFmtId="0" fontId="0" fillId="0" borderId="6" xfId="0" applyBorder="1" applyAlignment="1" applyProtection="1"/>
    <xf numFmtId="0" fontId="2" fillId="0" borderId="8" xfId="0" applyFont="1" applyBorder="1" applyAlignment="1" applyProtection="1"/>
    <xf numFmtId="0" fontId="0" fillId="0" borderId="8" xfId="0" applyBorder="1" applyAlignment="1" applyProtection="1"/>
    <xf numFmtId="0" fontId="7" fillId="0" borderId="15" xfId="0" applyFont="1" applyBorder="1" applyAlignment="1" applyProtection="1">
      <alignment horizontal="left"/>
    </xf>
    <xf numFmtId="0" fontId="7" fillId="0" borderId="0" xfId="0" applyFont="1" applyBorder="1" applyAlignment="1" applyProtection="1">
      <alignment horizontal="left"/>
    </xf>
    <xf numFmtId="2" fontId="0" fillId="4" borderId="37" xfId="0" applyNumberFormat="1" applyFill="1" applyBorder="1" applyProtection="1">
      <protection locked="0"/>
    </xf>
    <xf numFmtId="0" fontId="0" fillId="5" borderId="15" xfId="0" applyFill="1" applyBorder="1" applyProtection="1">
      <protection locked="0"/>
    </xf>
    <xf numFmtId="0" fontId="7" fillId="2" borderId="37" xfId="0" applyFont="1" applyFill="1" applyBorder="1" applyAlignment="1" applyProtection="1">
      <alignment horizontal="right"/>
      <protection locked="0"/>
    </xf>
    <xf numFmtId="0" fontId="0" fillId="0" borderId="0" xfId="0" applyBorder="1" applyAlignment="1" applyProtection="1"/>
    <xf numFmtId="2" fontId="0" fillId="0" borderId="0" xfId="0" applyNumberFormat="1" applyBorder="1" applyAlignment="1" applyProtection="1"/>
    <xf numFmtId="0" fontId="0" fillId="0" borderId="15" xfId="0" applyBorder="1" applyAlignment="1" applyProtection="1"/>
    <xf numFmtId="0" fontId="0" fillId="0" borderId="0" xfId="0" applyAlignment="1">
      <alignment horizontal="left"/>
    </xf>
    <xf numFmtId="0" fontId="2" fillId="0" borderId="0" xfId="0" applyFont="1" applyAlignment="1">
      <alignment horizontal="left"/>
    </xf>
    <xf numFmtId="0" fontId="0" fillId="0" borderId="5" xfId="0" applyBorder="1" applyProtection="1"/>
    <xf numFmtId="0" fontId="0" fillId="0" borderId="16" xfId="0" applyBorder="1" applyAlignment="1" applyProtection="1"/>
    <xf numFmtId="0" fontId="0" fillId="0" borderId="47" xfId="0" applyBorder="1" applyAlignment="1" applyProtection="1"/>
    <xf numFmtId="2" fontId="0" fillId="3" borderId="38" xfId="0" applyNumberFormat="1" applyFill="1" applyBorder="1" applyProtection="1">
      <protection locked="0"/>
    </xf>
    <xf numFmtId="0" fontId="0" fillId="0" borderId="9" xfId="0" applyBorder="1" applyProtection="1"/>
    <xf numFmtId="0" fontId="0" fillId="0" borderId="20" xfId="0" applyFill="1" applyBorder="1" applyProtection="1">
      <protection locked="0"/>
    </xf>
    <xf numFmtId="0" fontId="0" fillId="2" borderId="34" xfId="0" applyFill="1" applyBorder="1" applyAlignment="1" applyProtection="1">
      <alignment horizontal="center"/>
      <protection locked="0"/>
    </xf>
    <xf numFmtId="0" fontId="6" fillId="0" borderId="0" xfId="0" applyNumberFormat="1" applyFont="1" applyProtection="1"/>
    <xf numFmtId="0" fontId="0" fillId="0" borderId="0" xfId="0" applyNumberFormat="1" applyProtection="1"/>
    <xf numFmtId="166" fontId="1" fillId="0" borderId="0" xfId="0" applyNumberFormat="1" applyFont="1" applyProtection="1">
      <protection hidden="1"/>
    </xf>
    <xf numFmtId="0" fontId="11" fillId="0" borderId="0" xfId="0" applyFont="1"/>
    <xf numFmtId="14" fontId="11" fillId="0" borderId="0" xfId="0" applyNumberFormat="1" applyFont="1"/>
    <xf numFmtId="10" fontId="8" fillId="0" borderId="0" xfId="0" applyNumberFormat="1" applyFont="1" applyBorder="1"/>
    <xf numFmtId="0" fontId="0" fillId="0" borderId="48" xfId="0" applyBorder="1"/>
    <xf numFmtId="165" fontId="0" fillId="0" borderId="41" xfId="0" applyNumberFormat="1" applyBorder="1" applyAlignment="1">
      <alignment horizontal="center"/>
    </xf>
    <xf numFmtId="165" fontId="0" fillId="0" borderId="49" xfId="0" applyNumberFormat="1" applyBorder="1" applyAlignment="1">
      <alignment horizontal="center"/>
    </xf>
    <xf numFmtId="0" fontId="0" fillId="0" borderId="35" xfId="0" applyBorder="1" applyAlignment="1" applyProtection="1">
      <alignment horizontal="center"/>
    </xf>
    <xf numFmtId="165" fontId="2" fillId="0" borderId="0" xfId="0" applyNumberFormat="1" applyFont="1" applyBorder="1" applyAlignment="1">
      <alignment horizontal="center"/>
    </xf>
    <xf numFmtId="165" fontId="2" fillId="0" borderId="6" xfId="0" applyNumberFormat="1" applyFont="1" applyBorder="1" applyAlignment="1">
      <alignment horizontal="center"/>
    </xf>
    <xf numFmtId="2" fontId="2" fillId="0" borderId="0" xfId="0" applyNumberFormat="1" applyFont="1" applyBorder="1" applyAlignment="1">
      <alignment horizontal="center"/>
    </xf>
    <xf numFmtId="2" fontId="2" fillId="0" borderId="6" xfId="0" applyNumberFormat="1" applyFont="1" applyBorder="1" applyAlignment="1">
      <alignment horizontal="center"/>
    </xf>
    <xf numFmtId="2" fontId="0" fillId="0" borderId="41" xfId="0" applyNumberFormat="1" applyBorder="1" applyAlignment="1">
      <alignment horizontal="center"/>
    </xf>
    <xf numFmtId="2" fontId="0" fillId="0" borderId="49" xfId="0" applyNumberFormat="1" applyBorder="1" applyAlignment="1">
      <alignment horizontal="center"/>
    </xf>
    <xf numFmtId="0" fontId="0" fillId="0" borderId="6" xfId="0" applyBorder="1" applyProtection="1">
      <protection locked="0"/>
    </xf>
    <xf numFmtId="0" fontId="0" fillId="0" borderId="11" xfId="0" applyBorder="1" applyProtection="1"/>
    <xf numFmtId="0" fontId="0" fillId="0" borderId="36" xfId="0" applyBorder="1" applyProtection="1"/>
    <xf numFmtId="2" fontId="0" fillId="0" borderId="1" xfId="0" applyNumberFormat="1" applyBorder="1"/>
    <xf numFmtId="2" fontId="0" fillId="0" borderId="23" xfId="0" applyNumberFormat="1" applyBorder="1"/>
    <xf numFmtId="2" fontId="0" fillId="0" borderId="0" xfId="0" applyNumberFormat="1" applyFill="1" applyBorder="1"/>
    <xf numFmtId="2" fontId="0" fillId="0" borderId="0" xfId="0" applyNumberFormat="1" applyBorder="1" applyAlignment="1">
      <alignment horizontal="center"/>
    </xf>
    <xf numFmtId="165" fontId="0" fillId="0" borderId="0" xfId="0" applyNumberFormat="1" applyBorder="1"/>
    <xf numFmtId="2" fontId="0" fillId="0" borderId="49" xfId="0" applyNumberFormat="1" applyFill="1" applyBorder="1" applyAlignment="1">
      <alignment horizontal="center"/>
    </xf>
    <xf numFmtId="2" fontId="0" fillId="0" borderId="37" xfId="0" applyNumberFormat="1" applyBorder="1"/>
    <xf numFmtId="168" fontId="0" fillId="4" borderId="37" xfId="0" applyNumberFormat="1" applyFill="1" applyBorder="1" applyProtection="1">
      <protection locked="0"/>
    </xf>
    <xf numFmtId="0" fontId="19" fillId="0" borderId="0" xfId="0" applyFont="1" applyBorder="1"/>
    <xf numFmtId="0" fontId="0" fillId="0" borderId="0" xfId="0" applyBorder="1" applyAlignment="1" applyProtection="1">
      <alignment horizontal="center"/>
    </xf>
    <xf numFmtId="0" fontId="2" fillId="0" borderId="0" xfId="0" applyFont="1" applyBorder="1" applyAlignment="1" applyProtection="1">
      <alignment horizontal="center"/>
    </xf>
    <xf numFmtId="0" fontId="17" fillId="0" borderId="0" xfId="0" applyFont="1" applyBorder="1" applyAlignment="1" applyProtection="1">
      <alignment horizontal="center"/>
    </xf>
    <xf numFmtId="0" fontId="0" fillId="0" borderId="15" xfId="0" applyFill="1" applyBorder="1" applyAlignment="1" applyProtection="1"/>
    <xf numFmtId="0" fontId="20" fillId="0" borderId="37" xfId="0" applyNumberFormat="1" applyFont="1" applyFill="1" applyBorder="1" applyAlignment="1" applyProtection="1">
      <alignment horizontal="center"/>
    </xf>
    <xf numFmtId="0" fontId="21" fillId="0" borderId="37" xfId="0" applyNumberFormat="1" applyFont="1" applyFill="1" applyBorder="1" applyAlignment="1" applyProtection="1">
      <alignment horizontal="center"/>
    </xf>
    <xf numFmtId="0" fontId="0" fillId="0" borderId="2" xfId="0" applyNumberFormat="1" applyFont="1" applyFill="1" applyBorder="1" applyAlignment="1" applyProtection="1">
      <alignment wrapText="1"/>
    </xf>
    <xf numFmtId="0" fontId="20" fillId="0" borderId="2" xfId="0" applyNumberFormat="1" applyFont="1" applyFill="1" applyBorder="1" applyAlignment="1" applyProtection="1">
      <alignment horizontal="left"/>
    </xf>
    <xf numFmtId="0" fontId="20" fillId="0" borderId="0" xfId="0" applyNumberFormat="1" applyFont="1" applyFill="1" applyBorder="1" applyAlignment="1" applyProtection="1">
      <alignment horizontal="center"/>
    </xf>
    <xf numFmtId="0" fontId="0" fillId="0" borderId="21" xfId="0" applyNumberFormat="1" applyFont="1" applyFill="1" applyBorder="1" applyAlignment="1" applyProtection="1">
      <alignment horizontal="center" wrapText="1"/>
    </xf>
    <xf numFmtId="0" fontId="0" fillId="0" borderId="25" xfId="0" applyNumberFormat="1" applyFont="1" applyFill="1" applyBorder="1" applyAlignment="1" applyProtection="1">
      <alignment horizontal="center" wrapText="1"/>
    </xf>
    <xf numFmtId="0" fontId="22" fillId="0" borderId="2" xfId="0" applyNumberFormat="1" applyFont="1" applyFill="1" applyBorder="1" applyAlignment="1" applyProtection="1">
      <alignment horizontal="right"/>
    </xf>
    <xf numFmtId="0" fontId="23" fillId="0" borderId="37" xfId="0" applyNumberFormat="1" applyFont="1" applyFill="1" applyBorder="1" applyAlignment="1" applyProtection="1">
      <alignment horizontal="center"/>
    </xf>
    <xf numFmtId="0" fontId="7" fillId="0" borderId="21" xfId="0" applyNumberFormat="1" applyFont="1" applyFill="1" applyBorder="1" applyAlignment="1" applyProtection="1">
      <alignment horizontal="right"/>
    </xf>
    <xf numFmtId="0" fontId="7" fillId="0" borderId="32" xfId="0" applyNumberFormat="1" applyFont="1" applyFill="1" applyBorder="1" applyAlignment="1" applyProtection="1">
      <alignment horizontal="right"/>
    </xf>
    <xf numFmtId="0" fontId="7" fillId="0" borderId="0" xfId="0" applyNumberFormat="1" applyFont="1" applyFill="1" applyBorder="1" applyAlignment="1" applyProtection="1">
      <alignment horizontal="right"/>
    </xf>
    <xf numFmtId="0" fontId="0" fillId="0" borderId="1" xfId="0" applyNumberFormat="1" applyFont="1" applyFill="1" applyBorder="1" applyAlignment="1" applyProtection="1">
      <alignment wrapText="1"/>
    </xf>
    <xf numFmtId="0" fontId="0" fillId="0" borderId="21" xfId="0" applyNumberFormat="1" applyFont="1" applyFill="1" applyBorder="1" applyAlignment="1" applyProtection="1">
      <alignment wrapText="1"/>
    </xf>
    <xf numFmtId="0" fontId="0" fillId="0" borderId="32" xfId="0" applyNumberFormat="1" applyFont="1" applyFill="1" applyBorder="1" applyAlignment="1" applyProtection="1">
      <alignment wrapText="1"/>
    </xf>
    <xf numFmtId="0" fontId="7" fillId="0" borderId="1" xfId="0" applyNumberFormat="1" applyFont="1" applyFill="1" applyBorder="1" applyAlignment="1" applyProtection="1">
      <alignment horizontal="right"/>
    </xf>
    <xf numFmtId="0" fontId="7" fillId="0" borderId="33" xfId="0" applyNumberFormat="1" applyFont="1" applyFill="1" applyBorder="1" applyAlignment="1" applyProtection="1">
      <alignment horizontal="right"/>
    </xf>
    <xf numFmtId="0" fontId="0" fillId="0" borderId="33" xfId="0" applyNumberFormat="1" applyFont="1" applyFill="1" applyBorder="1" applyAlignment="1" applyProtection="1">
      <alignment wrapText="1"/>
    </xf>
    <xf numFmtId="0" fontId="22" fillId="0" borderId="0" xfId="0" applyNumberFormat="1" applyFont="1" applyFill="1" applyBorder="1" applyAlignment="1" applyProtection="1">
      <alignment horizontal="right"/>
    </xf>
    <xf numFmtId="0" fontId="7" fillId="0" borderId="19" xfId="0" applyNumberFormat="1" applyFont="1" applyFill="1" applyBorder="1" applyAlignment="1" applyProtection="1">
      <alignment horizontal="right"/>
    </xf>
    <xf numFmtId="0" fontId="7" fillId="0" borderId="23" xfId="0" applyNumberFormat="1" applyFont="1" applyFill="1" applyBorder="1" applyAlignment="1" applyProtection="1">
      <alignment horizontal="right"/>
    </xf>
    <xf numFmtId="0" fontId="7" fillId="0" borderId="34" xfId="0" applyNumberFormat="1" applyFont="1" applyFill="1" applyBorder="1" applyAlignment="1" applyProtection="1">
      <alignment horizontal="right"/>
    </xf>
    <xf numFmtId="0" fontId="0" fillId="0" borderId="23" xfId="0" applyNumberFormat="1" applyFont="1" applyFill="1" applyBorder="1" applyAlignment="1" applyProtection="1">
      <alignment wrapText="1"/>
    </xf>
    <xf numFmtId="0" fontId="0" fillId="0" borderId="34" xfId="0" applyNumberFormat="1" applyFont="1" applyFill="1" applyBorder="1" applyAlignment="1" applyProtection="1">
      <alignment wrapText="1"/>
    </xf>
    <xf numFmtId="0" fontId="20" fillId="0" borderId="15" xfId="0" applyNumberFormat="1" applyFont="1" applyFill="1" applyBorder="1" applyAlignment="1" applyProtection="1">
      <alignment horizontal="left"/>
    </xf>
    <xf numFmtId="0" fontId="20" fillId="0" borderId="44" xfId="0" applyNumberFormat="1" applyFont="1" applyFill="1" applyBorder="1" applyAlignment="1" applyProtection="1">
      <alignment horizontal="right"/>
    </xf>
    <xf numFmtId="0" fontId="20" fillId="0" borderId="50" xfId="0" applyNumberFormat="1" applyFont="1" applyFill="1" applyBorder="1" applyAlignment="1" applyProtection="1">
      <alignment horizontal="left"/>
    </xf>
    <xf numFmtId="0" fontId="0" fillId="0" borderId="51" xfId="0" applyBorder="1"/>
    <xf numFmtId="0" fontId="20" fillId="0" borderId="15" xfId="0" applyNumberFormat="1" applyFont="1" applyFill="1" applyBorder="1" applyAlignment="1" applyProtection="1">
      <alignment horizontal="right"/>
    </xf>
    <xf numFmtId="0" fontId="20" fillId="0" borderId="50" xfId="0" applyNumberFormat="1" applyFont="1" applyFill="1" applyBorder="1" applyAlignment="1" applyProtection="1">
      <alignment horizontal="right"/>
    </xf>
    <xf numFmtId="0" fontId="20" fillId="0" borderId="52" xfId="0" applyNumberFormat="1" applyFont="1" applyFill="1" applyBorder="1" applyAlignment="1" applyProtection="1">
      <alignment horizontal="right"/>
    </xf>
    <xf numFmtId="0" fontId="20" fillId="0" borderId="19" xfId="0" applyNumberFormat="1" applyFont="1" applyFill="1" applyBorder="1" applyAlignment="1" applyProtection="1">
      <alignment horizontal="center"/>
    </xf>
    <xf numFmtId="0" fontId="0" fillId="0" borderId="0" xfId="0" applyNumberFormat="1" applyFont="1" applyFill="1" applyBorder="1" applyAlignment="1" applyProtection="1">
      <alignment wrapText="1"/>
    </xf>
    <xf numFmtId="0" fontId="20" fillId="0" borderId="0" xfId="0" applyNumberFormat="1" applyFont="1" applyFill="1" applyBorder="1" applyAlignment="1" applyProtection="1">
      <alignment horizontal="left"/>
    </xf>
    <xf numFmtId="0" fontId="22" fillId="0" borderId="19" xfId="0" applyNumberFormat="1" applyFont="1" applyFill="1" applyBorder="1" applyAlignment="1" applyProtection="1">
      <alignment horizontal="center"/>
    </xf>
    <xf numFmtId="0" fontId="20" fillId="0" borderId="2" xfId="0" applyNumberFormat="1" applyFont="1" applyFill="1" applyBorder="1" applyAlignment="1" applyProtection="1">
      <alignment horizontal="right"/>
    </xf>
    <xf numFmtId="165" fontId="20" fillId="0" borderId="32" xfId="0" applyNumberFormat="1" applyFont="1" applyFill="1" applyBorder="1" applyAlignment="1" applyProtection="1">
      <alignment horizontal="center"/>
    </xf>
    <xf numFmtId="165" fontId="22" fillId="0" borderId="37" xfId="0" applyNumberFormat="1" applyFont="1" applyFill="1" applyBorder="1" applyAlignment="1" applyProtection="1">
      <alignment horizontal="center"/>
    </xf>
    <xf numFmtId="0" fontId="20" fillId="0" borderId="24" xfId="0" applyNumberFormat="1" applyFont="1" applyFill="1" applyBorder="1" applyAlignment="1" applyProtection="1">
      <alignment horizontal="right"/>
    </xf>
    <xf numFmtId="165" fontId="20" fillId="0" borderId="34" xfId="0" applyNumberFormat="1" applyFont="1" applyFill="1" applyBorder="1" applyAlignment="1" applyProtection="1">
      <alignment horizontal="center"/>
    </xf>
    <xf numFmtId="0" fontId="20" fillId="0" borderId="0" xfId="0" applyNumberFormat="1" applyFont="1" applyFill="1" applyBorder="1" applyAlignment="1" applyProtection="1">
      <alignment horizontal="right"/>
    </xf>
    <xf numFmtId="10" fontId="20" fillId="0" borderId="0" xfId="0" applyNumberFormat="1" applyFont="1" applyFill="1" applyBorder="1" applyAlignment="1" applyProtection="1">
      <alignment horizontal="right"/>
    </xf>
    <xf numFmtId="2" fontId="0" fillId="0" borderId="0" xfId="0" applyNumberFormat="1" applyBorder="1" applyAlignment="1">
      <alignment horizontal="right"/>
    </xf>
    <xf numFmtId="2" fontId="8" fillId="0" borderId="0" xfId="0" applyNumberFormat="1" applyFont="1" applyBorder="1"/>
    <xf numFmtId="167" fontId="0" fillId="0" borderId="0" xfId="0" applyNumberFormat="1" applyBorder="1"/>
    <xf numFmtId="2" fontId="20" fillId="0" borderId="27" xfId="0" applyNumberFormat="1" applyFont="1" applyFill="1" applyBorder="1" applyAlignment="1" applyProtection="1">
      <alignment horizontal="center"/>
    </xf>
    <xf numFmtId="0" fontId="3" fillId="0" borderId="0" xfId="0" applyFont="1" applyBorder="1" applyAlignment="1">
      <alignment horizontal="center"/>
    </xf>
    <xf numFmtId="2" fontId="3" fillId="0" borderId="0" xfId="0" applyNumberFormat="1" applyFont="1" applyBorder="1" applyAlignment="1">
      <alignment horizontal="center"/>
    </xf>
    <xf numFmtId="10" fontId="0" fillId="0" borderId="0" xfId="0" applyNumberFormat="1" applyFont="1" applyFill="1" applyBorder="1" applyAlignment="1" applyProtection="1">
      <alignment wrapText="1"/>
    </xf>
    <xf numFmtId="0" fontId="0" fillId="0" borderId="0" xfId="0" applyAlignment="1" applyProtection="1"/>
    <xf numFmtId="14" fontId="0" fillId="0" borderId="4" xfId="0" applyNumberFormat="1" applyBorder="1" applyAlignment="1" applyProtection="1">
      <alignment horizontal="center"/>
      <protection locked="0"/>
    </xf>
    <xf numFmtId="0" fontId="0" fillId="0" borderId="0" xfId="0" applyBorder="1" applyAlignment="1" applyProtection="1">
      <alignment horizontal="center"/>
      <protection locked="0"/>
    </xf>
    <xf numFmtId="0" fontId="24" fillId="2" borderId="27" xfId="0" applyNumberFormat="1" applyFont="1" applyFill="1" applyBorder="1" applyAlignment="1" applyProtection="1">
      <alignment horizontal="right"/>
      <protection locked="0"/>
    </xf>
    <xf numFmtId="0" fontId="2" fillId="0" borderId="0" xfId="0" applyFont="1" applyAlignment="1" applyProtection="1"/>
    <xf numFmtId="164" fontId="15" fillId="0" borderId="0" xfId="0" applyNumberFormat="1" applyFont="1" applyFill="1" applyBorder="1" applyAlignment="1" applyProtection="1">
      <alignment horizontal="center"/>
    </xf>
    <xf numFmtId="165" fontId="0" fillId="0" borderId="5" xfId="0" applyNumberFormat="1" applyBorder="1" applyAlignment="1" applyProtection="1"/>
    <xf numFmtId="0" fontId="0" fillId="0" borderId="49" xfId="0" applyBorder="1" applyAlignment="1" applyProtection="1"/>
    <xf numFmtId="165" fontId="0" fillId="0" borderId="49" xfId="0" applyNumberFormat="1" applyBorder="1" applyAlignment="1" applyProtection="1"/>
    <xf numFmtId="2" fontId="2" fillId="0" borderId="26" xfId="0" applyNumberFormat="1" applyFont="1" applyFill="1" applyBorder="1" applyProtection="1"/>
    <xf numFmtId="0" fontId="2" fillId="0" borderId="53" xfId="0" applyFont="1" applyBorder="1" applyProtection="1"/>
    <xf numFmtId="0" fontId="2" fillId="0" borderId="18" xfId="0" applyFont="1" applyBorder="1" applyAlignment="1">
      <alignment horizontal="center"/>
    </xf>
    <xf numFmtId="2" fontId="0" fillId="0" borderId="0" xfId="0" applyNumberFormat="1" applyBorder="1" applyAlignment="1">
      <alignment horizontal="left"/>
    </xf>
    <xf numFmtId="2" fontId="2" fillId="0" borderId="18" xfId="0" applyNumberFormat="1" applyFont="1" applyBorder="1"/>
    <xf numFmtId="0" fontId="20" fillId="0" borderId="54" xfId="0" applyNumberFormat="1" applyFont="1" applyFill="1" applyBorder="1" applyAlignment="1" applyProtection="1">
      <alignment horizontal="left"/>
    </xf>
    <xf numFmtId="0" fontId="20" fillId="0" borderId="30" xfId="0" applyNumberFormat="1" applyFont="1" applyFill="1" applyBorder="1" applyAlignment="1" applyProtection="1">
      <alignment horizontal="left"/>
    </xf>
    <xf numFmtId="0" fontId="20" fillId="0" borderId="16" xfId="0" applyNumberFormat="1" applyFont="1" applyFill="1" applyBorder="1" applyAlignment="1" applyProtection="1">
      <alignment horizontal="left"/>
    </xf>
    <xf numFmtId="0" fontId="20" fillId="0" borderId="8" xfId="0" applyNumberFormat="1" applyFont="1" applyFill="1" applyBorder="1" applyAlignment="1" applyProtection="1">
      <alignment horizontal="center"/>
    </xf>
    <xf numFmtId="0" fontId="20" fillId="0" borderId="9" xfId="0" applyNumberFormat="1" applyFont="1" applyFill="1" applyBorder="1" applyAlignment="1" applyProtection="1">
      <alignment horizontal="center"/>
    </xf>
    <xf numFmtId="0" fontId="20" fillId="0" borderId="47" xfId="0" applyNumberFormat="1" applyFont="1" applyFill="1" applyBorder="1" applyAlignment="1" applyProtection="1">
      <alignment horizontal="right"/>
    </xf>
    <xf numFmtId="0" fontId="20" fillId="0" borderId="38" xfId="0" applyNumberFormat="1" applyFont="1" applyFill="1" applyBorder="1" applyAlignment="1" applyProtection="1">
      <alignment horizontal="center"/>
    </xf>
    <xf numFmtId="0" fontId="0" fillId="0" borderId="55" xfId="0" applyNumberFormat="1" applyFont="1" applyFill="1" applyBorder="1" applyAlignment="1" applyProtection="1">
      <alignment wrapText="1"/>
    </xf>
    <xf numFmtId="165" fontId="20" fillId="0" borderId="55" xfId="0" applyNumberFormat="1" applyFont="1" applyFill="1" applyBorder="1" applyAlignment="1" applyProtection="1">
      <alignment horizontal="center"/>
    </xf>
    <xf numFmtId="0" fontId="0" fillId="0" borderId="7" xfId="0" applyNumberFormat="1" applyFont="1" applyFill="1" applyBorder="1" applyAlignment="1" applyProtection="1">
      <alignment wrapText="1"/>
    </xf>
    <xf numFmtId="0" fontId="0" fillId="0" borderId="56" xfId="0" applyNumberFormat="1" applyFont="1" applyFill="1" applyBorder="1" applyAlignment="1" applyProtection="1">
      <alignment wrapText="1"/>
    </xf>
    <xf numFmtId="2" fontId="20" fillId="0" borderId="53" xfId="0" applyNumberFormat="1" applyFont="1" applyFill="1" applyBorder="1" applyAlignment="1" applyProtection="1">
      <alignment horizontal="center"/>
    </xf>
    <xf numFmtId="0" fontId="2" fillId="0" borderId="0" xfId="0" applyNumberFormat="1" applyFont="1" applyFill="1" applyBorder="1" applyAlignment="1" applyProtection="1">
      <alignment horizontal="center" wrapText="1"/>
    </xf>
    <xf numFmtId="0" fontId="0" fillId="0" borderId="19" xfId="0" applyNumberFormat="1" applyFont="1" applyFill="1" applyBorder="1" applyAlignment="1" applyProtection="1">
      <alignment wrapText="1"/>
    </xf>
    <xf numFmtId="165" fontId="22" fillId="0" borderId="18" xfId="0" applyNumberFormat="1" applyFont="1" applyFill="1" applyBorder="1" applyAlignment="1" applyProtection="1">
      <alignment horizontal="center"/>
    </xf>
    <xf numFmtId="165" fontId="0" fillId="0" borderId="37" xfId="0" applyNumberFormat="1" applyFill="1" applyBorder="1"/>
    <xf numFmtId="0" fontId="0" fillId="0" borderId="8" xfId="0" applyNumberFormat="1" applyFont="1" applyFill="1" applyBorder="1" applyAlignment="1" applyProtection="1">
      <alignment wrapText="1"/>
    </xf>
    <xf numFmtId="0" fontId="0" fillId="2" borderId="37" xfId="0" applyFill="1" applyBorder="1" applyAlignment="1" applyProtection="1">
      <alignment horizontal="center"/>
      <protection locked="0"/>
    </xf>
    <xf numFmtId="0" fontId="0" fillId="5" borderId="4" xfId="0" applyFill="1" applyBorder="1" applyProtection="1">
      <protection locked="0"/>
    </xf>
    <xf numFmtId="0" fontId="0" fillId="0" borderId="0" xfId="0" applyAlignment="1">
      <alignment horizontal="left" vertical="top" wrapText="1"/>
    </xf>
    <xf numFmtId="49" fontId="0" fillId="0" borderId="1" xfId="0" applyNumberFormat="1" applyBorder="1" applyAlignment="1" applyProtection="1">
      <alignment horizontal="left"/>
    </xf>
    <xf numFmtId="49" fontId="0" fillId="0" borderId="0" xfId="0" applyNumberFormat="1" applyAlignment="1" applyProtection="1">
      <alignment horizontal="left"/>
    </xf>
    <xf numFmtId="166" fontId="16" fillId="0" borderId="0" xfId="0" applyNumberFormat="1" applyFont="1" applyAlignment="1" applyProtection="1">
      <alignment horizontal="center"/>
    </xf>
    <xf numFmtId="0" fontId="0" fillId="0" borderId="11" xfId="0" applyBorder="1" applyAlignment="1">
      <alignment horizontal="center"/>
    </xf>
    <xf numFmtId="0" fontId="0" fillId="0" borderId="7" xfId="0" applyBorder="1" applyAlignment="1">
      <alignment horizontal="center"/>
    </xf>
    <xf numFmtId="0" fontId="7" fillId="0" borderId="0" xfId="0" applyFont="1"/>
    <xf numFmtId="0" fontId="30" fillId="0" borderId="0" xfId="0" applyFont="1"/>
    <xf numFmtId="0" fontId="31" fillId="0" borderId="0" xfId="0" applyFont="1"/>
    <xf numFmtId="0" fontId="7" fillId="0" borderId="11" xfId="0" applyFont="1" applyBorder="1" applyAlignment="1"/>
    <xf numFmtId="0" fontId="0" fillId="0" borderId="35" xfId="0" applyBorder="1" applyAlignment="1"/>
    <xf numFmtId="0" fontId="0" fillId="0" borderId="36" xfId="0" applyBorder="1" applyAlignment="1"/>
    <xf numFmtId="0" fontId="0" fillId="0" borderId="11" xfId="0" applyBorder="1" applyAlignment="1"/>
    <xf numFmtId="49" fontId="7" fillId="0" borderId="0" xfId="0" applyNumberFormat="1" applyFont="1" applyBorder="1" applyAlignment="1">
      <alignment horizontal="center"/>
    </xf>
    <xf numFmtId="0" fontId="0" fillId="0" borderId="41" xfId="0" applyBorder="1" applyAlignment="1"/>
    <xf numFmtId="0" fontId="0" fillId="0" borderId="49" xfId="0" applyBorder="1" applyAlignment="1"/>
    <xf numFmtId="0" fontId="7" fillId="2" borderId="37" xfId="0" applyFont="1" applyFill="1" applyBorder="1" applyProtection="1">
      <protection locked="0"/>
    </xf>
    <xf numFmtId="164" fontId="26" fillId="0" borderId="39" xfId="0" applyNumberFormat="1" applyFont="1" applyFill="1" applyBorder="1" applyAlignment="1" applyProtection="1"/>
    <xf numFmtId="164" fontId="26" fillId="0" borderId="3" xfId="0" applyNumberFormat="1" applyFont="1" applyFill="1" applyBorder="1" applyAlignment="1" applyProtection="1"/>
    <xf numFmtId="164" fontId="26" fillId="0" borderId="40" xfId="0" applyNumberFormat="1" applyFont="1" applyFill="1" applyBorder="1" applyAlignment="1" applyProtection="1"/>
    <xf numFmtId="14" fontId="30" fillId="0" borderId="0" xfId="0" applyNumberFormat="1" applyFont="1"/>
    <xf numFmtId="0" fontId="7" fillId="0" borderId="4" xfId="0" applyFont="1" applyBorder="1"/>
    <xf numFmtId="0" fontId="0" fillId="0" borderId="30" xfId="0" applyFill="1" applyBorder="1"/>
    <xf numFmtId="49" fontId="7" fillId="0" borderId="57" xfId="0" applyNumberFormat="1" applyFont="1" applyBorder="1" applyAlignment="1">
      <alignment horizontal="center"/>
    </xf>
    <xf numFmtId="0" fontId="2" fillId="0" borderId="0" xfId="0" applyFont="1" applyFill="1" applyBorder="1"/>
    <xf numFmtId="0" fontId="7" fillId="0" borderId="0" xfId="0" applyFont="1" applyFill="1" applyBorder="1" applyAlignment="1"/>
    <xf numFmtId="0" fontId="0" fillId="0" borderId="4" xfId="0" applyBorder="1" applyAlignment="1"/>
    <xf numFmtId="0" fontId="7" fillId="0" borderId="4" xfId="0" applyFont="1" applyBorder="1" applyAlignment="1">
      <alignment horizontal="center"/>
    </xf>
    <xf numFmtId="0" fontId="7" fillId="2" borderId="52" xfId="0" applyFont="1" applyFill="1" applyBorder="1" applyProtection="1">
      <protection locked="0"/>
    </xf>
    <xf numFmtId="49" fontId="7" fillId="0" borderId="43" xfId="0" applyNumberFormat="1" applyFont="1" applyBorder="1" applyAlignment="1">
      <alignment horizontal="center"/>
    </xf>
    <xf numFmtId="49" fontId="7" fillId="0" borderId="13" xfId="0" applyNumberFormat="1" applyFont="1" applyBorder="1" applyAlignment="1">
      <alignment horizontal="center"/>
    </xf>
    <xf numFmtId="49" fontId="7" fillId="0" borderId="3" xfId="0" applyNumberFormat="1" applyFont="1" applyBorder="1" applyAlignment="1">
      <alignment horizontal="center"/>
    </xf>
    <xf numFmtId="49" fontId="7" fillId="0" borderId="20" xfId="0" applyNumberFormat="1" applyFont="1" applyBorder="1" applyAlignment="1">
      <alignment horizontal="center"/>
    </xf>
    <xf numFmtId="0" fontId="34" fillId="0" borderId="11" xfId="0" applyFont="1" applyBorder="1" applyAlignment="1">
      <alignment horizontal="center"/>
    </xf>
    <xf numFmtId="0" fontId="35" fillId="0" borderId="20" xfId="0" applyFont="1" applyBorder="1" applyAlignment="1">
      <alignment horizontal="center"/>
    </xf>
    <xf numFmtId="0" fontId="35" fillId="0" borderId="15" xfId="0" applyFont="1" applyFill="1" applyBorder="1" applyAlignment="1">
      <alignment horizontal="center"/>
    </xf>
    <xf numFmtId="0" fontId="35" fillId="0" borderId="16" xfId="0" applyFont="1" applyBorder="1" applyAlignment="1">
      <alignment horizontal="center"/>
    </xf>
    <xf numFmtId="0" fontId="34" fillId="0" borderId="58" xfId="0" applyFont="1" applyBorder="1" applyAlignment="1">
      <alignment horizontal="center"/>
    </xf>
    <xf numFmtId="0" fontId="36" fillId="0" borderId="14" xfId="0" applyFont="1" applyBorder="1" applyAlignment="1">
      <alignment horizontal="center"/>
    </xf>
    <xf numFmtId="49" fontId="7" fillId="0" borderId="12" xfId="0" applyNumberFormat="1" applyFont="1" applyBorder="1" applyAlignment="1">
      <alignment horizontal="center"/>
    </xf>
    <xf numFmtId="0" fontId="0" fillId="0" borderId="7" xfId="0" applyFill="1" applyBorder="1" applyAlignment="1">
      <alignment horizontal="center"/>
    </xf>
    <xf numFmtId="0" fontId="0" fillId="0" borderId="3" xfId="0" applyBorder="1" applyAlignment="1">
      <alignment horizontal="center"/>
    </xf>
    <xf numFmtId="0" fontId="37" fillId="0" borderId="57" xfId="0" applyFont="1" applyBorder="1" applyAlignment="1">
      <alignment horizontal="center"/>
    </xf>
    <xf numFmtId="0" fontId="0" fillId="0" borderId="33" xfId="0" applyBorder="1" applyAlignment="1">
      <alignment horizontal="center"/>
    </xf>
    <xf numFmtId="0" fontId="37" fillId="0" borderId="50" xfId="0" applyFont="1" applyBorder="1" applyAlignment="1">
      <alignment horizontal="center"/>
    </xf>
    <xf numFmtId="0" fontId="0" fillId="0" borderId="1" xfId="0" applyFill="1" applyBorder="1" applyAlignment="1">
      <alignment horizontal="center"/>
    </xf>
    <xf numFmtId="0" fontId="0" fillId="0" borderId="33" xfId="0" applyFill="1" applyBorder="1" applyAlignment="1">
      <alignment horizontal="center"/>
    </xf>
    <xf numFmtId="0" fontId="0" fillId="0" borderId="55" xfId="0" applyBorder="1" applyAlignment="1">
      <alignment horizontal="center"/>
    </xf>
    <xf numFmtId="0" fontId="37" fillId="0" borderId="59" xfId="0" applyFont="1" applyFill="1" applyBorder="1" applyAlignment="1">
      <alignment horizontal="center"/>
    </xf>
    <xf numFmtId="0" fontId="0" fillId="0" borderId="32" xfId="0" applyBorder="1" applyAlignment="1">
      <alignment horizontal="center"/>
    </xf>
    <xf numFmtId="166" fontId="7" fillId="0" borderId="0" xfId="0" applyNumberFormat="1" applyFont="1" applyAlignment="1" applyProtection="1"/>
    <xf numFmtId="166" fontId="7" fillId="0" borderId="0" xfId="0" applyNumberFormat="1" applyFont="1" applyAlignment="1" applyProtection="1">
      <alignment horizontal="center"/>
    </xf>
    <xf numFmtId="0" fontId="7" fillId="0" borderId="0" xfId="0" applyFont="1" applyFill="1" applyBorder="1" applyAlignment="1" applyProtection="1">
      <alignment horizontal="center"/>
      <protection locked="0"/>
    </xf>
    <xf numFmtId="0" fontId="38" fillId="0" borderId="0" xfId="0" applyFont="1" applyBorder="1" applyAlignment="1" applyProtection="1">
      <alignment horizontal="left"/>
    </xf>
    <xf numFmtId="0" fontId="38" fillId="0" borderId="0" xfId="0" applyFont="1" applyBorder="1" applyAlignment="1" applyProtection="1">
      <alignment horizontal="center"/>
    </xf>
    <xf numFmtId="0" fontId="0" fillId="0" borderId="15" xfId="0" applyFill="1" applyBorder="1" applyAlignment="1"/>
    <xf numFmtId="0" fontId="0" fillId="0" borderId="18" xfId="0" applyFill="1" applyBorder="1" applyAlignment="1">
      <alignment horizontal="center"/>
    </xf>
    <xf numFmtId="0" fontId="39" fillId="0" borderId="37" xfId="0" applyFont="1" applyFill="1" applyBorder="1" applyAlignment="1" applyProtection="1">
      <alignment horizontal="center"/>
    </xf>
    <xf numFmtId="0" fontId="7" fillId="0" borderId="15" xfId="0" applyFont="1" applyBorder="1"/>
    <xf numFmtId="2" fontId="0" fillId="0" borderId="0" xfId="0" applyNumberFormat="1"/>
    <xf numFmtId="0" fontId="7" fillId="0" borderId="49" xfId="0" applyFont="1" applyFill="1" applyBorder="1" applyProtection="1">
      <protection locked="0"/>
    </xf>
    <xf numFmtId="0" fontId="11" fillId="6" borderId="60" xfId="0" applyFont="1" applyFill="1" applyBorder="1" applyAlignment="1" applyProtection="1">
      <alignment horizontal="center"/>
      <protection locked="0"/>
    </xf>
    <xf numFmtId="0" fontId="11" fillId="6" borderId="52" xfId="0" applyFont="1" applyFill="1" applyBorder="1" applyAlignment="1" applyProtection="1">
      <alignment horizontal="center"/>
      <protection locked="0"/>
    </xf>
    <xf numFmtId="0" fontId="11" fillId="6" borderId="46" xfId="0" applyFont="1" applyFill="1" applyBorder="1" applyAlignment="1" applyProtection="1">
      <alignment horizontal="center"/>
      <protection locked="0"/>
    </xf>
    <xf numFmtId="0" fontId="7" fillId="6" borderId="52" xfId="0" applyFont="1" applyFill="1" applyBorder="1" applyProtection="1">
      <protection locked="0"/>
    </xf>
    <xf numFmtId="0" fontId="7" fillId="0" borderId="15" xfId="0" applyFont="1" applyBorder="1" applyProtection="1"/>
    <xf numFmtId="166" fontId="7" fillId="0" borderId="0" xfId="0" applyNumberFormat="1" applyFont="1" applyProtection="1">
      <protection hidden="1"/>
    </xf>
    <xf numFmtId="0" fontId="7" fillId="0" borderId="0" xfId="0" applyFont="1" applyAlignment="1">
      <alignment horizontal="left"/>
    </xf>
    <xf numFmtId="0" fontId="0" fillId="0" borderId="0" xfId="0" applyAlignment="1">
      <alignment horizontal="left"/>
    </xf>
    <xf numFmtId="0" fontId="3" fillId="0" borderId="0" xfId="0" applyFont="1" applyAlignment="1">
      <alignment horizontal="left"/>
    </xf>
    <xf numFmtId="0" fontId="0" fillId="0" borderId="0" xfId="0" applyAlignment="1">
      <alignment horizontal="center"/>
    </xf>
    <xf numFmtId="0" fontId="2" fillId="0" borderId="0" xfId="0" applyFont="1" applyAlignment="1">
      <alignment horizontal="left"/>
    </xf>
    <xf numFmtId="0" fontId="2" fillId="0" borderId="0" xfId="0" quotePrefix="1" applyFont="1" applyAlignment="1">
      <alignment horizontal="left"/>
    </xf>
    <xf numFmtId="0" fontId="17" fillId="0" borderId="0" xfId="0" applyFont="1"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17" fontId="7" fillId="0" borderId="0" xfId="0" applyNumberFormat="1" applyFont="1" applyAlignment="1">
      <alignment horizontal="left" vertical="top" wrapText="1"/>
    </xf>
    <xf numFmtId="0" fontId="0" fillId="0" borderId="35" xfId="0" applyFill="1" applyBorder="1" applyAlignment="1" applyProtection="1">
      <alignment horizontal="center"/>
    </xf>
    <xf numFmtId="0" fontId="0" fillId="0" borderId="15" xfId="0" applyBorder="1" applyAlignment="1" applyProtection="1">
      <alignment horizontal="center"/>
    </xf>
    <xf numFmtId="0" fontId="0" fillId="0" borderId="0" xfId="0" applyBorder="1" applyAlignment="1" applyProtection="1">
      <alignment horizontal="center"/>
    </xf>
    <xf numFmtId="0" fontId="0" fillId="0" borderId="2" xfId="0" applyBorder="1" applyAlignment="1" applyProtection="1">
      <alignment horizontal="center"/>
    </xf>
    <xf numFmtId="0" fontId="28" fillId="0" borderId="7" xfId="0" applyFont="1" applyFill="1" applyBorder="1" applyAlignment="1" applyProtection="1">
      <alignment horizontal="center"/>
    </xf>
    <xf numFmtId="0" fontId="28" fillId="0" borderId="8" xfId="0" applyFont="1" applyFill="1" applyBorder="1" applyAlignment="1" applyProtection="1">
      <alignment horizontal="center"/>
    </xf>
    <xf numFmtId="2" fontId="0" fillId="0" borderId="26" xfId="0" applyNumberFormat="1" applyBorder="1" applyAlignment="1" applyProtection="1">
      <alignment horizontal="center"/>
    </xf>
    <xf numFmtId="2" fontId="0" fillId="0" borderId="28" xfId="0" applyNumberFormat="1" applyBorder="1" applyAlignment="1" applyProtection="1">
      <alignment horizontal="center"/>
    </xf>
    <xf numFmtId="0" fontId="28" fillId="0" borderId="15" xfId="0" applyFont="1" applyFill="1" applyBorder="1" applyAlignment="1" applyProtection="1">
      <alignment horizontal="center"/>
    </xf>
    <xf numFmtId="0" fontId="28" fillId="0" borderId="0" xfId="0" applyFont="1" applyFill="1" applyBorder="1" applyAlignment="1" applyProtection="1">
      <alignment horizontal="center"/>
    </xf>
    <xf numFmtId="0" fontId="28" fillId="0" borderId="6" xfId="0" applyFont="1" applyFill="1" applyBorder="1" applyAlignment="1" applyProtection="1">
      <alignment horizontal="center"/>
    </xf>
    <xf numFmtId="0" fontId="0" fillId="0" borderId="26" xfId="0" applyBorder="1" applyAlignment="1" applyProtection="1">
      <alignment horizontal="center"/>
    </xf>
    <xf numFmtId="0" fontId="0" fillId="0" borderId="28" xfId="0" applyBorder="1" applyAlignment="1" applyProtection="1">
      <alignment horizontal="center"/>
    </xf>
    <xf numFmtId="0" fontId="0" fillId="0" borderId="35" xfId="0" applyBorder="1" applyAlignment="1" applyProtection="1">
      <alignment horizontal="center"/>
    </xf>
    <xf numFmtId="0" fontId="39" fillId="0" borderId="11" xfId="0" applyFont="1" applyBorder="1" applyAlignment="1" applyProtection="1">
      <alignment horizontal="center"/>
    </xf>
    <xf numFmtId="0" fontId="39" fillId="0" borderId="35" xfId="0" applyFont="1" applyBorder="1" applyAlignment="1" applyProtection="1">
      <alignment horizontal="center"/>
    </xf>
    <xf numFmtId="164" fontId="41" fillId="0" borderId="8" xfId="0" applyNumberFormat="1" applyFont="1" applyBorder="1" applyAlignment="1" applyProtection="1">
      <alignment horizontal="center"/>
    </xf>
    <xf numFmtId="164" fontId="41" fillId="0" borderId="9" xfId="0" applyNumberFormat="1" applyFont="1" applyBorder="1" applyAlignment="1" applyProtection="1">
      <alignment horizontal="center"/>
    </xf>
    <xf numFmtId="10" fontId="31" fillId="0" borderId="15" xfId="0" applyNumberFormat="1" applyFont="1" applyBorder="1" applyAlignment="1" applyProtection="1">
      <alignment horizontal="right"/>
    </xf>
    <xf numFmtId="10" fontId="31" fillId="0" borderId="0" xfId="0" applyNumberFormat="1" applyFont="1" applyAlignment="1" applyProtection="1">
      <alignment horizontal="right"/>
    </xf>
    <xf numFmtId="0" fontId="9" fillId="0" borderId="27" xfId="0" applyFont="1" applyBorder="1" applyAlignment="1" applyProtection="1">
      <alignment horizontal="center"/>
    </xf>
    <xf numFmtId="0" fontId="8" fillId="0" borderId="0" xfId="0" applyFont="1" applyBorder="1" applyAlignment="1" applyProtection="1">
      <alignment horizontal="center"/>
    </xf>
    <xf numFmtId="0" fontId="33" fillId="0" borderId="0" xfId="0" applyFont="1" applyBorder="1" applyAlignment="1" applyProtection="1">
      <alignment horizontal="center"/>
    </xf>
    <xf numFmtId="0" fontId="0" fillId="0" borderId="4" xfId="0" applyBorder="1" applyAlignment="1" applyProtection="1">
      <alignment horizontal="center"/>
    </xf>
    <xf numFmtId="0" fontId="33" fillId="0" borderId="8" xfId="0" applyFont="1" applyFill="1" applyBorder="1" applyAlignment="1" applyProtection="1">
      <alignment horizontal="center"/>
    </xf>
    <xf numFmtId="0" fontId="33" fillId="0" borderId="9" xfId="0" applyFont="1" applyFill="1" applyBorder="1" applyAlignment="1" applyProtection="1">
      <alignment horizontal="center"/>
    </xf>
    <xf numFmtId="164" fontId="14" fillId="0" borderId="23" xfId="0" applyNumberFormat="1" applyFont="1" applyFill="1" applyBorder="1" applyAlignment="1" applyProtection="1">
      <alignment horizontal="center"/>
    </xf>
    <xf numFmtId="164" fontId="14" fillId="0" borderId="24" xfId="0" applyNumberFormat="1" applyFont="1" applyFill="1" applyBorder="1" applyAlignment="1" applyProtection="1">
      <alignment horizontal="center"/>
    </xf>
    <xf numFmtId="164" fontId="15" fillId="0" borderId="23" xfId="0" applyNumberFormat="1" applyFont="1" applyFill="1" applyBorder="1" applyAlignment="1" applyProtection="1">
      <alignment horizontal="center"/>
    </xf>
    <xf numFmtId="164" fontId="15" fillId="0" borderId="24" xfId="0" applyNumberFormat="1" applyFont="1" applyFill="1" applyBorder="1" applyAlignment="1" applyProtection="1">
      <alignment horizontal="center"/>
    </xf>
    <xf numFmtId="0" fontId="2" fillId="0" borderId="15" xfId="0" applyFont="1" applyBorder="1" applyAlignment="1" applyProtection="1">
      <alignment horizontal="left"/>
    </xf>
    <xf numFmtId="0" fontId="2" fillId="0" borderId="0" xfId="0" applyFont="1" applyBorder="1" applyAlignment="1" applyProtection="1">
      <alignment horizontal="left"/>
    </xf>
    <xf numFmtId="0" fontId="2" fillId="0" borderId="2" xfId="0" applyFont="1" applyBorder="1" applyAlignment="1" applyProtection="1">
      <alignment horizontal="left"/>
    </xf>
    <xf numFmtId="164" fontId="2" fillId="0" borderId="35" xfId="0" applyNumberFormat="1" applyFont="1" applyBorder="1" applyAlignment="1" applyProtection="1">
      <alignment horizontal="center"/>
    </xf>
    <xf numFmtId="164" fontId="2" fillId="0" borderId="36" xfId="0" applyNumberFormat="1" applyFont="1" applyBorder="1" applyAlignment="1" applyProtection="1">
      <alignment horizontal="center"/>
    </xf>
    <xf numFmtId="0" fontId="15" fillId="0" borderId="11" xfId="0" applyFont="1" applyBorder="1" applyAlignment="1" applyProtection="1">
      <alignment horizontal="center"/>
    </xf>
    <xf numFmtId="0" fontId="15" fillId="0" borderId="35" xfId="0" applyFont="1" applyBorder="1" applyAlignment="1" applyProtection="1">
      <alignment horizontal="center"/>
    </xf>
    <xf numFmtId="164" fontId="2" fillId="0" borderId="8" xfId="0" applyNumberFormat="1" applyFont="1" applyBorder="1" applyAlignment="1" applyProtection="1">
      <alignment horizontal="center"/>
    </xf>
    <xf numFmtId="164" fontId="2" fillId="0" borderId="9" xfId="0" applyNumberFormat="1" applyFont="1" applyBorder="1" applyAlignment="1" applyProtection="1">
      <alignment horizontal="center"/>
    </xf>
    <xf numFmtId="0" fontId="0" fillId="0" borderId="11" xfId="0" applyBorder="1" applyAlignment="1" applyProtection="1">
      <alignment horizontal="center"/>
    </xf>
    <xf numFmtId="0" fontId="0" fillId="0" borderId="36" xfId="0" applyBorder="1" applyAlignment="1" applyProtection="1">
      <alignment horizontal="center"/>
    </xf>
    <xf numFmtId="49" fontId="7" fillId="0" borderId="1" xfId="0" applyNumberFormat="1" applyFont="1" applyBorder="1" applyAlignment="1" applyProtection="1">
      <alignment horizontal="left"/>
    </xf>
    <xf numFmtId="49" fontId="0" fillId="0" borderId="0" xfId="0" applyNumberFormat="1" applyAlignment="1" applyProtection="1">
      <alignment horizontal="left"/>
    </xf>
    <xf numFmtId="0" fontId="40" fillId="0" borderId="0" xfId="0" applyFont="1" applyBorder="1" applyAlignment="1" applyProtection="1">
      <alignment horizontal="right"/>
      <protection locked="0"/>
    </xf>
    <xf numFmtId="0" fontId="40" fillId="0" borderId="2" xfId="0" applyFont="1" applyBorder="1" applyAlignment="1" applyProtection="1">
      <alignment horizontal="right"/>
      <protection locked="0"/>
    </xf>
    <xf numFmtId="0" fontId="0" fillId="0" borderId="0" xfId="0" applyAlignment="1" applyProtection="1">
      <alignment horizontal="right"/>
    </xf>
    <xf numFmtId="0" fontId="0" fillId="0" borderId="2" xfId="0" applyBorder="1" applyAlignment="1" applyProtection="1">
      <alignment horizontal="right"/>
    </xf>
    <xf numFmtId="0" fontId="2" fillId="0" borderId="0" xfId="0" applyFont="1" applyAlignment="1" applyProtection="1">
      <alignment horizontal="center"/>
    </xf>
    <xf numFmtId="0" fontId="18" fillId="0" borderId="15" xfId="0" applyFont="1" applyBorder="1" applyAlignment="1" applyProtection="1">
      <alignment horizontal="center"/>
    </xf>
    <xf numFmtId="0" fontId="18" fillId="0" borderId="0" xfId="0" applyFont="1" applyBorder="1" applyAlignment="1" applyProtection="1">
      <alignment horizontal="center"/>
    </xf>
    <xf numFmtId="0" fontId="18" fillId="0" borderId="6" xfId="0" applyFont="1" applyBorder="1" applyAlignment="1" applyProtection="1">
      <alignment horizontal="center"/>
    </xf>
    <xf numFmtId="0" fontId="0" fillId="0" borderId="16" xfId="0" applyBorder="1" applyAlignment="1" applyProtection="1">
      <alignment horizontal="center"/>
    </xf>
    <xf numFmtId="0" fontId="0" fillId="0" borderId="8" xfId="0" applyBorder="1" applyAlignment="1" applyProtection="1">
      <alignment horizontal="center"/>
    </xf>
    <xf numFmtId="0" fontId="0" fillId="0" borderId="47" xfId="0" applyBorder="1" applyAlignment="1" applyProtection="1">
      <alignment horizontal="center"/>
    </xf>
    <xf numFmtId="0" fontId="0" fillId="0" borderId="16" xfId="0" applyFill="1" applyBorder="1" applyAlignment="1" applyProtection="1">
      <alignment horizontal="center"/>
    </xf>
    <xf numFmtId="0" fontId="0" fillId="0" borderId="8" xfId="0" applyFill="1" applyBorder="1" applyAlignment="1" applyProtection="1">
      <alignment horizontal="center"/>
    </xf>
    <xf numFmtId="0" fontId="0" fillId="0" borderId="9" xfId="0" applyFill="1" applyBorder="1" applyAlignment="1" applyProtection="1">
      <alignment horizontal="center"/>
    </xf>
    <xf numFmtId="0" fontId="0" fillId="0" borderId="6" xfId="0" applyBorder="1" applyAlignment="1" applyProtection="1">
      <alignment horizontal="center"/>
    </xf>
    <xf numFmtId="0" fontId="0" fillId="0" borderId="9" xfId="0" applyBorder="1" applyAlignment="1" applyProtection="1">
      <alignment horizontal="center"/>
    </xf>
    <xf numFmtId="0" fontId="7" fillId="0" borderId="11" xfId="0" applyFont="1" applyBorder="1" applyAlignment="1" applyProtection="1">
      <alignment horizontal="center"/>
      <protection locked="0"/>
    </xf>
    <xf numFmtId="0" fontId="7" fillId="0" borderId="35" xfId="0" applyFont="1" applyBorder="1" applyAlignment="1" applyProtection="1">
      <alignment horizontal="center"/>
      <protection locked="0"/>
    </xf>
    <xf numFmtId="0" fontId="7" fillId="0" borderId="36" xfId="0" applyFont="1" applyBorder="1" applyAlignment="1" applyProtection="1">
      <alignment horizontal="center"/>
      <protection locked="0"/>
    </xf>
    <xf numFmtId="14" fontId="0" fillId="0" borderId="11" xfId="0" applyNumberFormat="1" applyBorder="1" applyAlignment="1" applyProtection="1">
      <alignment horizontal="center"/>
      <protection locked="0"/>
    </xf>
    <xf numFmtId="0" fontId="0" fillId="0" borderId="36" xfId="0" applyBorder="1" applyAlignment="1" applyProtection="1">
      <alignment horizontal="center"/>
      <protection locked="0"/>
    </xf>
    <xf numFmtId="0" fontId="0" fillId="0" borderId="0" xfId="0" applyAlignment="1" applyProtection="1">
      <alignment horizontal="center"/>
    </xf>
    <xf numFmtId="0" fontId="31" fillId="0" borderId="10" xfId="0" applyFont="1" applyBorder="1" applyAlignment="1" applyProtection="1">
      <alignment horizontal="center" wrapText="1"/>
    </xf>
    <xf numFmtId="0" fontId="31" fillId="0" borderId="29" xfId="0" applyFont="1" applyBorder="1" applyAlignment="1" applyProtection="1">
      <alignment horizontal="center" wrapText="1"/>
    </xf>
    <xf numFmtId="0" fontId="31" fillId="0" borderId="17" xfId="0" applyFont="1" applyBorder="1" applyAlignment="1" applyProtection="1">
      <alignment horizontal="center" wrapText="1"/>
    </xf>
    <xf numFmtId="0" fontId="31" fillId="0" borderId="20" xfId="0" applyFont="1" applyBorder="1" applyAlignment="1" applyProtection="1">
      <alignment horizontal="center" wrapText="1"/>
    </xf>
    <xf numFmtId="0" fontId="31" fillId="0" borderId="15" xfId="0" applyFont="1" applyBorder="1" applyAlignment="1" applyProtection="1">
      <alignment horizontal="center" wrapText="1"/>
    </xf>
    <xf numFmtId="0" fontId="31" fillId="0" borderId="16" xfId="0" applyFont="1" applyBorder="1" applyAlignment="1" applyProtection="1">
      <alignment horizontal="center" wrapText="1"/>
    </xf>
    <xf numFmtId="0" fontId="2" fillId="0" borderId="0" xfId="0" applyFont="1" applyBorder="1" applyAlignment="1" applyProtection="1">
      <alignment horizontal="center"/>
    </xf>
    <xf numFmtId="166" fontId="16" fillId="0" borderId="0" xfId="0" applyNumberFormat="1" applyFont="1" applyAlignment="1" applyProtection="1">
      <alignment horizontal="center"/>
    </xf>
    <xf numFmtId="0" fontId="0" fillId="0" borderId="0" xfId="0" applyFill="1" applyBorder="1" applyAlignment="1" applyProtection="1">
      <alignment horizontal="right"/>
    </xf>
    <xf numFmtId="0" fontId="0" fillId="0" borderId="2" xfId="0" applyFill="1" applyBorder="1" applyAlignment="1" applyProtection="1">
      <alignment horizontal="right"/>
    </xf>
    <xf numFmtId="0" fontId="9" fillId="0" borderId="0" xfId="0" applyFont="1" applyFill="1" applyAlignment="1" applyProtection="1">
      <alignment horizontal="center" vertical="center" wrapText="1"/>
    </xf>
    <xf numFmtId="0" fontId="2" fillId="0" borderId="20" xfId="0" applyFont="1" applyBorder="1" applyAlignment="1" applyProtection="1">
      <alignment horizontal="left"/>
    </xf>
    <xf numFmtId="0" fontId="2" fillId="0" borderId="4" xfId="0" applyFont="1" applyBorder="1" applyAlignment="1" applyProtection="1">
      <alignment horizontal="left"/>
    </xf>
    <xf numFmtId="0" fontId="2" fillId="0" borderId="61" xfId="0" applyFont="1" applyBorder="1" applyAlignment="1" applyProtection="1">
      <alignment horizontal="left"/>
    </xf>
    <xf numFmtId="0" fontId="17" fillId="0" borderId="0" xfId="0" applyFont="1" applyBorder="1" applyAlignment="1" applyProtection="1">
      <alignment horizontal="center"/>
    </xf>
    <xf numFmtId="49" fontId="0" fillId="0" borderId="1" xfId="0" applyNumberFormat="1" applyBorder="1" applyAlignment="1" applyProtection="1">
      <alignment horizontal="left"/>
    </xf>
    <xf numFmtId="164" fontId="14" fillId="0" borderId="26" xfId="0" applyNumberFormat="1" applyFont="1" applyFill="1" applyBorder="1" applyAlignment="1" applyProtection="1">
      <alignment horizontal="center"/>
    </xf>
    <xf numFmtId="164" fontId="14" fillId="0" borderId="28" xfId="0" applyNumberFormat="1" applyFont="1" applyFill="1" applyBorder="1" applyAlignment="1" applyProtection="1">
      <alignment horizontal="center"/>
    </xf>
    <xf numFmtId="164" fontId="15" fillId="0" borderId="26" xfId="0" applyNumberFormat="1" applyFont="1" applyFill="1" applyBorder="1" applyAlignment="1" applyProtection="1">
      <alignment horizontal="center"/>
    </xf>
    <xf numFmtId="164" fontId="15" fillId="0" borderId="28" xfId="0" applyNumberFormat="1" applyFont="1" applyFill="1" applyBorder="1" applyAlignment="1" applyProtection="1">
      <alignment horizontal="center"/>
    </xf>
    <xf numFmtId="2" fontId="2" fillId="0" borderId="26" xfId="0" applyNumberFormat="1" applyFont="1" applyBorder="1" applyAlignment="1" applyProtection="1">
      <alignment horizontal="center"/>
    </xf>
    <xf numFmtId="2" fontId="2" fillId="0" borderId="53" xfId="0" applyNumberFormat="1" applyFont="1" applyBorder="1" applyAlignment="1" applyProtection="1">
      <alignment horizontal="center"/>
    </xf>
    <xf numFmtId="0" fontId="1" fillId="0" borderId="27" xfId="0" applyFont="1" applyBorder="1" applyAlignment="1" applyProtection="1">
      <alignment horizontal="center"/>
    </xf>
    <xf numFmtId="0" fontId="1" fillId="0" borderId="53" xfId="0" applyFont="1" applyBorder="1" applyAlignment="1" applyProtection="1">
      <alignment horizontal="center"/>
    </xf>
    <xf numFmtId="0" fontId="2" fillId="0" borderId="19" xfId="0" applyFont="1" applyFill="1" applyBorder="1" applyAlignment="1" applyProtection="1">
      <alignment horizontal="center"/>
    </xf>
    <xf numFmtId="0" fontId="26" fillId="0" borderId="11" xfId="0" applyFont="1" applyBorder="1" applyAlignment="1" applyProtection="1">
      <alignment horizontal="center"/>
    </xf>
    <xf numFmtId="0" fontId="26" fillId="0" borderId="35" xfId="0" applyFont="1" applyBorder="1" applyAlignment="1" applyProtection="1">
      <alignment horizontal="center"/>
    </xf>
    <xf numFmtId="0" fontId="14" fillId="0" borderId="11" xfId="0" applyFont="1" applyBorder="1" applyAlignment="1" applyProtection="1">
      <alignment horizontal="center"/>
    </xf>
    <xf numFmtId="0" fontId="14" fillId="0" borderId="35" xfId="0" applyFont="1" applyBorder="1" applyAlignment="1" applyProtection="1">
      <alignment horizontal="center"/>
    </xf>
    <xf numFmtId="0" fontId="0" fillId="0" borderId="0" xfId="0" applyFill="1" applyBorder="1" applyAlignment="1" applyProtection="1">
      <alignment horizontal="center"/>
    </xf>
    <xf numFmtId="164" fontId="42" fillId="0" borderId="8" xfId="0" applyNumberFormat="1" applyFont="1" applyBorder="1" applyAlignment="1" applyProtection="1">
      <alignment horizontal="center"/>
    </xf>
    <xf numFmtId="164" fontId="42" fillId="0" borderId="9" xfId="0" applyNumberFormat="1" applyFont="1" applyBorder="1" applyAlignment="1" applyProtection="1">
      <alignment horizontal="center"/>
    </xf>
    <xf numFmtId="165" fontId="2" fillId="0" borderId="26" xfId="0" applyNumberFormat="1" applyFont="1" applyBorder="1" applyAlignment="1" applyProtection="1">
      <alignment horizontal="center"/>
    </xf>
    <xf numFmtId="165" fontId="2" fillId="0" borderId="53" xfId="0" applyNumberFormat="1" applyFont="1" applyBorder="1" applyAlignment="1" applyProtection="1">
      <alignment horizontal="center"/>
    </xf>
    <xf numFmtId="0" fontId="7" fillId="0" borderId="11" xfId="0" applyFont="1"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2" fillId="0" borderId="0" xfId="0" applyFont="1" applyFill="1" applyBorder="1" applyAlignment="1">
      <alignment horizontal="center"/>
    </xf>
    <xf numFmtId="0" fontId="1" fillId="0" borderId="0" xfId="0" applyFont="1" applyBorder="1" applyAlignment="1">
      <alignment horizontal="center"/>
    </xf>
    <xf numFmtId="0" fontId="1" fillId="0" borderId="25" xfId="0" applyFont="1" applyBorder="1" applyAlignment="1">
      <alignment horizontal="center"/>
    </xf>
    <xf numFmtId="0" fontId="1" fillId="0" borderId="62" xfId="0" applyFont="1" applyBorder="1" applyAlignment="1">
      <alignment horizontal="center"/>
    </xf>
    <xf numFmtId="0" fontId="1" fillId="0" borderId="30" xfId="0" applyFont="1" applyBorder="1" applyAlignment="1">
      <alignment horizontal="center"/>
    </xf>
    <xf numFmtId="0" fontId="2" fillId="0" borderId="0" xfId="0" applyFont="1" applyBorder="1" applyAlignment="1">
      <alignment horizontal="center"/>
    </xf>
    <xf numFmtId="0" fontId="7" fillId="0" borderId="20"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4" fillId="0" borderId="8" xfId="0" applyNumberFormat="1" applyFont="1" applyFill="1" applyBorder="1" applyAlignment="1" applyProtection="1">
      <alignment horizontal="center"/>
    </xf>
    <xf numFmtId="0" fontId="22" fillId="0" borderId="8" xfId="0" applyNumberFormat="1" applyFont="1" applyFill="1" applyBorder="1" applyAlignment="1" applyProtection="1">
      <alignment horizontal="center"/>
    </xf>
    <xf numFmtId="0" fontId="22" fillId="0" borderId="9" xfId="0" applyNumberFormat="1" applyFont="1" applyFill="1" applyBorder="1" applyAlignment="1" applyProtection="1">
      <alignment horizontal="center"/>
    </xf>
    <xf numFmtId="165" fontId="20" fillId="0" borderId="26" xfId="0" applyNumberFormat="1" applyFont="1" applyFill="1" applyBorder="1" applyAlignment="1" applyProtection="1">
      <alignment horizontal="center"/>
    </xf>
    <xf numFmtId="0" fontId="20" fillId="0" borderId="27" xfId="0" applyNumberFormat="1" applyFont="1" applyFill="1" applyBorder="1" applyAlignment="1" applyProtection="1">
      <alignment horizontal="center"/>
    </xf>
    <xf numFmtId="10" fontId="20" fillId="0" borderId="11" xfId="0" applyNumberFormat="1" applyFont="1" applyFill="1" applyBorder="1" applyAlignment="1" applyProtection="1">
      <alignment horizontal="center"/>
    </xf>
    <xf numFmtId="10" fontId="20" fillId="0" borderId="36" xfId="0" applyNumberFormat="1" applyFont="1" applyFill="1" applyBorder="1" applyAlignment="1" applyProtection="1">
      <alignment horizontal="center"/>
    </xf>
    <xf numFmtId="2" fontId="25" fillId="0" borderId="27" xfId="0" applyNumberFormat="1" applyFont="1" applyFill="1" applyBorder="1" applyAlignment="1" applyProtection="1">
      <alignment horizontal="center"/>
    </xf>
    <xf numFmtId="0" fontId="20" fillId="0" borderId="0" xfId="0" applyNumberFormat="1" applyFont="1" applyFill="1" applyBorder="1" applyAlignment="1" applyProtection="1">
      <alignment horizontal="center"/>
    </xf>
    <xf numFmtId="0" fontId="24" fillId="0" borderId="4" xfId="0" applyNumberFormat="1" applyFont="1" applyFill="1" applyBorder="1" applyAlignment="1" applyProtection="1">
      <alignment horizontal="center"/>
    </xf>
    <xf numFmtId="10" fontId="22" fillId="0" borderId="4" xfId="0" applyNumberFormat="1" applyFont="1" applyFill="1" applyBorder="1" applyAlignment="1" applyProtection="1">
      <alignment horizontal="center"/>
    </xf>
    <xf numFmtId="10" fontId="22" fillId="0" borderId="5" xfId="0" applyNumberFormat="1" applyFont="1" applyFill="1" applyBorder="1" applyAlignment="1" applyProtection="1">
      <alignment horizontal="center"/>
    </xf>
    <xf numFmtId="0" fontId="0" fillId="0" borderId="41" xfId="0" applyBorder="1" applyAlignment="1">
      <alignment horizontal="center"/>
    </xf>
    <xf numFmtId="0" fontId="0" fillId="0" borderId="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8" xfId="0" applyBorder="1" applyAlignment="1">
      <alignment horizontal="center"/>
    </xf>
    <xf numFmtId="0" fontId="0" fillId="0" borderId="63" xfId="0" applyBorder="1" applyAlignment="1">
      <alignment horizontal="center"/>
    </xf>
    <xf numFmtId="0" fontId="0" fillId="0" borderId="64" xfId="0" applyBorder="1" applyAlignment="1">
      <alignment horizontal="center"/>
    </xf>
    <xf numFmtId="0" fontId="20" fillId="0" borderId="25" xfId="0" applyNumberFormat="1" applyFont="1" applyFill="1" applyBorder="1" applyAlignment="1" applyProtection="1">
      <alignment horizontal="center"/>
    </xf>
    <xf numFmtId="0" fontId="20" fillId="0" borderId="19" xfId="0" applyNumberFormat="1" applyFont="1" applyFill="1" applyBorder="1" applyAlignment="1" applyProtection="1">
      <alignment horizontal="center"/>
    </xf>
    <xf numFmtId="0" fontId="8" fillId="0" borderId="0" xfId="0" applyFont="1" applyBorder="1" applyAlignment="1">
      <alignment horizontal="center"/>
    </xf>
    <xf numFmtId="165" fontId="0" fillId="0" borderId="26" xfId="0" applyNumberFormat="1" applyFill="1" applyBorder="1" applyAlignment="1">
      <alignment horizontal="center"/>
    </xf>
    <xf numFmtId="0" fontId="0" fillId="0" borderId="27" xfId="0" applyFill="1" applyBorder="1" applyAlignment="1">
      <alignment horizontal="center"/>
    </xf>
    <xf numFmtId="10" fontId="0" fillId="0" borderId="11" xfId="0" applyNumberFormat="1" applyBorder="1" applyAlignment="1">
      <alignment horizontal="center"/>
    </xf>
    <xf numFmtId="10" fontId="0" fillId="0" borderId="36" xfId="0" applyNumberFormat="1" applyBorder="1" applyAlignment="1">
      <alignment horizontal="center"/>
    </xf>
    <xf numFmtId="0" fontId="8" fillId="0" borderId="4" xfId="0" applyFont="1" applyBorder="1" applyAlignment="1">
      <alignment horizontal="center"/>
    </xf>
    <xf numFmtId="10" fontId="2" fillId="0" borderId="4" xfId="0" applyNumberFormat="1" applyFont="1" applyBorder="1" applyAlignment="1">
      <alignment horizontal="center"/>
    </xf>
    <xf numFmtId="0" fontId="8" fillId="0" borderId="8" xfId="0" applyFont="1" applyBorder="1" applyAlignment="1">
      <alignment horizontal="center"/>
    </xf>
    <xf numFmtId="0" fontId="2" fillId="0" borderId="8" xfId="0" applyFont="1" applyBorder="1" applyAlignment="1">
      <alignment horizontal="center"/>
    </xf>
    <xf numFmtId="0" fontId="0" fillId="0" borderId="25" xfId="0" applyBorder="1" applyAlignment="1">
      <alignment horizontal="center"/>
    </xf>
    <xf numFmtId="2" fontId="25" fillId="0" borderId="25" xfId="0" applyNumberFormat="1" applyFont="1" applyFill="1" applyBorder="1" applyAlignment="1" applyProtection="1">
      <alignment horizontal="center"/>
    </xf>
    <xf numFmtId="0" fontId="0" fillId="0" borderId="48" xfId="0" applyBorder="1" applyAlignment="1">
      <alignment horizontal="center"/>
    </xf>
    <xf numFmtId="0" fontId="0" fillId="0" borderId="39" xfId="0" applyBorder="1" applyAlignment="1">
      <alignment horizontal="center"/>
    </xf>
    <xf numFmtId="0" fontId="0" fillId="0" borderId="42"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15" xfId="0" applyBorder="1" applyAlignment="1">
      <alignment horizontal="center"/>
    </xf>
    <xf numFmtId="0" fontId="0" fillId="0" borderId="2" xfId="0" applyBorder="1" applyAlignment="1">
      <alignment horizontal="center"/>
    </xf>
    <xf numFmtId="0" fontId="20" fillId="0" borderId="41" xfId="0" applyNumberFormat="1" applyFont="1" applyFill="1" applyBorder="1" applyAlignment="1" applyProtection="1">
      <alignment horizontal="center"/>
    </xf>
    <xf numFmtId="0" fontId="7" fillId="0" borderId="0" xfId="0" applyFont="1" applyBorder="1" applyAlignment="1">
      <alignment horizontal="center"/>
    </xf>
    <xf numFmtId="0" fontId="0" fillId="0" borderId="54" xfId="0" applyBorder="1" applyAlignment="1">
      <alignment horizontal="center"/>
    </xf>
    <xf numFmtId="0" fontId="0" fillId="0" borderId="28" xfId="0" applyBorder="1" applyAlignment="1">
      <alignment horizontal="center"/>
    </xf>
    <xf numFmtId="0" fontId="0" fillId="0" borderId="56" xfId="0" applyBorder="1" applyAlignment="1">
      <alignment horizontal="center"/>
    </xf>
    <xf numFmtId="0" fontId="0" fillId="0" borderId="7" xfId="0" applyBorder="1" applyAlignment="1">
      <alignment horizontal="center"/>
    </xf>
    <xf numFmtId="0" fontId="0" fillId="0" borderId="11" xfId="0" applyBorder="1" applyAlignment="1">
      <alignment horizontal="center"/>
    </xf>
    <xf numFmtId="0" fontId="1" fillId="0" borderId="0" xfId="0" applyFont="1" applyFill="1" applyBorder="1" applyAlignment="1">
      <alignment horizontal="center"/>
    </xf>
    <xf numFmtId="0" fontId="20" fillId="0" borderId="48" xfId="0" applyNumberFormat="1" applyFont="1" applyFill="1" applyBorder="1" applyAlignment="1" applyProtection="1">
      <alignment horizontal="center"/>
    </xf>
    <xf numFmtId="0" fontId="20" fillId="0" borderId="49" xfId="0" applyNumberFormat="1" applyFont="1" applyFill="1" applyBorder="1" applyAlignment="1" applyProtection="1">
      <alignment horizontal="center"/>
    </xf>
    <xf numFmtId="0" fontId="0" fillId="0" borderId="0" xfId="0" applyFill="1" applyBorder="1" applyAlignment="1">
      <alignment horizontal="center"/>
    </xf>
    <xf numFmtId="0" fontId="24" fillId="0" borderId="27" xfId="0" applyNumberFormat="1" applyFont="1" applyFill="1" applyBorder="1" applyAlignment="1" applyProtection="1">
      <alignment horizontal="center"/>
    </xf>
    <xf numFmtId="0" fontId="24" fillId="0" borderId="0" xfId="0" applyNumberFormat="1" applyFont="1" applyFill="1" applyBorder="1" applyAlignment="1" applyProtection="1">
      <alignment horizontal="center"/>
    </xf>
    <xf numFmtId="0" fontId="7" fillId="0" borderId="16" xfId="0" applyFont="1" applyBorder="1" applyAlignment="1">
      <alignment horizontal="center"/>
    </xf>
    <xf numFmtId="0" fontId="7" fillId="0" borderId="8" xfId="0" applyFont="1" applyBorder="1" applyAlignment="1">
      <alignment horizontal="center"/>
    </xf>
    <xf numFmtId="0" fontId="7" fillId="0" borderId="35" xfId="0" applyFont="1" applyBorder="1" applyAlignment="1">
      <alignment horizontal="center"/>
    </xf>
    <xf numFmtId="0" fontId="7" fillId="0" borderId="36" xfId="0" applyFont="1" applyBorder="1" applyAlignment="1">
      <alignment horizontal="center"/>
    </xf>
    <xf numFmtId="0" fontId="0" fillId="0" borderId="35" xfId="0" applyBorder="1"/>
    <xf numFmtId="0" fontId="0" fillId="0" borderId="36" xfId="0" applyBorder="1"/>
    <xf numFmtId="0" fontId="20" fillId="0" borderId="26" xfId="0" applyNumberFormat="1" applyFont="1" applyFill="1" applyBorder="1" applyAlignment="1" applyProtection="1">
      <alignment horizontal="center"/>
    </xf>
    <xf numFmtId="0" fontId="20" fillId="0" borderId="53" xfId="0" applyNumberFormat="1" applyFont="1" applyFill="1" applyBorder="1" applyAlignment="1" applyProtection="1">
      <alignment horizontal="center"/>
    </xf>
  </cellXfs>
  <cellStyles count="1">
    <cellStyle name="Normal" xfId="0" builtinId="0"/>
  </cellStyles>
  <dxfs count="28">
    <dxf>
      <numFmt numFmtId="1" formatCode="0"/>
    </dxf>
    <dxf>
      <numFmt numFmtId="1" formatCode="0"/>
    </dxf>
    <dxf>
      <numFmt numFmtId="1" formatCode="0"/>
    </dxf>
    <dxf>
      <numFmt numFmtId="1" formatCode="0"/>
    </dxf>
    <dxf>
      <numFmt numFmtId="1" formatCode="0"/>
    </dxf>
    <dxf>
      <font>
        <color rgb="FF008000"/>
      </font>
    </dxf>
    <dxf>
      <fill>
        <patternFill>
          <bgColor indexed="42"/>
        </patternFill>
      </fill>
    </dxf>
    <dxf>
      <font>
        <condense val="0"/>
        <extend val="0"/>
        <color indexed="10"/>
      </font>
    </dxf>
    <dxf>
      <font>
        <condense val="0"/>
        <extend val="0"/>
        <color indexed="17"/>
      </font>
    </dxf>
    <dxf>
      <fill>
        <patternFill>
          <bgColor indexed="42"/>
        </patternFill>
      </fill>
    </dxf>
    <dxf>
      <fill>
        <patternFill>
          <bgColor indexed="43"/>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indexed="43"/>
        </patternFill>
      </fill>
    </dxf>
    <dxf>
      <fill>
        <patternFill>
          <bgColor indexed="43"/>
        </patternFill>
      </fill>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53"/>
      </font>
    </dxf>
    <dxf>
      <font>
        <condense val="0"/>
        <extend val="0"/>
        <color indexed="10"/>
      </font>
    </dxf>
    <dxf>
      <font>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J80"/>
  <sheetViews>
    <sheetView showGridLines="0" workbookViewId="0">
      <selection activeCell="K2" sqref="K2"/>
    </sheetView>
  </sheetViews>
  <sheetFormatPr defaultRowHeight="12.75" x14ac:dyDescent="0.2"/>
  <cols>
    <col min="2" max="2" width="10.140625" bestFit="1" customWidth="1"/>
  </cols>
  <sheetData>
    <row r="2" spans="1:10" x14ac:dyDescent="0.2">
      <c r="A2" s="263" t="s">
        <v>562</v>
      </c>
      <c r="B2" s="263"/>
      <c r="C2" s="263"/>
      <c r="D2" s="263"/>
      <c r="E2" s="263"/>
      <c r="F2" s="263"/>
      <c r="G2" s="263"/>
      <c r="H2" s="263"/>
      <c r="I2" s="262"/>
    </row>
    <row r="3" spans="1:10" x14ac:dyDescent="0.2">
      <c r="A3" s="456" t="s">
        <v>546</v>
      </c>
      <c r="B3" s="456"/>
      <c r="C3" s="456"/>
      <c r="D3" s="456"/>
      <c r="E3" s="456"/>
      <c r="F3" s="456"/>
      <c r="G3" s="456"/>
      <c r="H3" s="456"/>
    </row>
    <row r="4" spans="1:10" x14ac:dyDescent="0.2">
      <c r="A4" s="457" t="s">
        <v>624</v>
      </c>
      <c r="B4" s="456"/>
      <c r="C4" s="456"/>
      <c r="D4" s="456"/>
      <c r="E4" s="456"/>
      <c r="F4" s="456"/>
      <c r="G4" s="456"/>
      <c r="H4" s="456"/>
    </row>
    <row r="6" spans="1:10" x14ac:dyDescent="0.2">
      <c r="A6" s="458" t="s">
        <v>547</v>
      </c>
      <c r="B6" s="458"/>
      <c r="C6" s="458"/>
    </row>
    <row r="8" spans="1:10" x14ac:dyDescent="0.2">
      <c r="A8" s="453" t="s">
        <v>548</v>
      </c>
      <c r="B8" s="453"/>
      <c r="C8" s="453"/>
      <c r="D8" s="453"/>
      <c r="E8" s="453"/>
      <c r="F8" s="453"/>
    </row>
    <row r="9" spans="1:10" x14ac:dyDescent="0.2">
      <c r="B9" s="453" t="s">
        <v>549</v>
      </c>
      <c r="C9" s="453"/>
      <c r="D9" s="453"/>
      <c r="E9" s="453"/>
    </row>
    <row r="10" spans="1:10" x14ac:dyDescent="0.2">
      <c r="B10" s="262"/>
      <c r="C10" s="262"/>
      <c r="D10" s="262"/>
      <c r="E10" s="262"/>
    </row>
    <row r="11" spans="1:10" x14ac:dyDescent="0.2">
      <c r="A11" s="459" t="s">
        <v>649</v>
      </c>
      <c r="B11" s="460"/>
      <c r="C11" s="460"/>
      <c r="D11" s="460"/>
      <c r="E11" s="460"/>
      <c r="F11" s="460"/>
      <c r="G11" s="460"/>
      <c r="H11" s="460"/>
      <c r="I11" s="460"/>
      <c r="J11" s="460"/>
    </row>
    <row r="12" spans="1:10" x14ac:dyDescent="0.2">
      <c r="A12" s="460"/>
      <c r="B12" s="460"/>
      <c r="C12" s="460"/>
      <c r="D12" s="460"/>
      <c r="E12" s="460"/>
      <c r="F12" s="460"/>
      <c r="G12" s="460"/>
      <c r="H12" s="460"/>
      <c r="I12" s="460"/>
      <c r="J12" s="460"/>
    </row>
    <row r="13" spans="1:10" ht="27" customHeight="1" x14ac:dyDescent="0.2">
      <c r="A13" s="460"/>
      <c r="B13" s="460"/>
      <c r="C13" s="460"/>
      <c r="D13" s="460"/>
      <c r="E13" s="460"/>
      <c r="F13" s="460"/>
      <c r="G13" s="460"/>
      <c r="H13" s="460"/>
      <c r="I13" s="460"/>
      <c r="J13" s="460"/>
    </row>
    <row r="15" spans="1:10" x14ac:dyDescent="0.2">
      <c r="A15" s="452" t="s">
        <v>650</v>
      </c>
      <c r="B15" s="453"/>
      <c r="C15" s="453"/>
      <c r="D15" s="453"/>
      <c r="E15" s="453"/>
      <c r="F15" s="453"/>
      <c r="G15" s="453"/>
      <c r="H15" s="453"/>
      <c r="I15" s="453"/>
      <c r="J15" s="453"/>
    </row>
    <row r="16" spans="1:10" x14ac:dyDescent="0.2">
      <c r="A16" s="262"/>
      <c r="B16" s="454" t="s">
        <v>651</v>
      </c>
      <c r="C16" s="453"/>
      <c r="D16" s="453"/>
      <c r="E16" s="453"/>
      <c r="F16" s="453"/>
      <c r="G16" s="453"/>
      <c r="H16" s="453"/>
      <c r="I16" s="453"/>
      <c r="J16" s="453"/>
    </row>
    <row r="17" spans="1:10" x14ac:dyDescent="0.2">
      <c r="A17" s="262"/>
      <c r="B17" s="455" t="s">
        <v>625</v>
      </c>
      <c r="C17" s="455"/>
      <c r="D17" s="455"/>
      <c r="E17" s="455"/>
      <c r="F17" s="455"/>
      <c r="G17" s="455"/>
      <c r="H17" s="455"/>
      <c r="I17" s="455"/>
      <c r="J17" s="455"/>
    </row>
    <row r="19" spans="1:10" x14ac:dyDescent="0.2">
      <c r="A19" s="453" t="s">
        <v>563</v>
      </c>
      <c r="B19" s="453"/>
      <c r="C19" s="453"/>
      <c r="D19" s="453"/>
      <c r="E19" s="453"/>
      <c r="F19" s="453"/>
      <c r="G19" s="453"/>
      <c r="H19" s="453"/>
      <c r="I19" s="453"/>
      <c r="J19" s="453"/>
    </row>
    <row r="20" spans="1:10" x14ac:dyDescent="0.2">
      <c r="B20" s="453" t="s">
        <v>559</v>
      </c>
      <c r="C20" s="453"/>
      <c r="D20" s="453"/>
      <c r="E20" s="453"/>
      <c r="F20" s="453"/>
      <c r="G20" s="453"/>
      <c r="H20" s="453"/>
      <c r="I20" s="453"/>
      <c r="J20" s="453"/>
    </row>
    <row r="21" spans="1:10" x14ac:dyDescent="0.2">
      <c r="B21" s="453" t="s">
        <v>560</v>
      </c>
      <c r="C21" s="453"/>
      <c r="D21" s="453"/>
      <c r="E21" s="453"/>
      <c r="F21" s="453"/>
      <c r="G21" s="453"/>
      <c r="H21" s="453"/>
      <c r="I21" s="453"/>
      <c r="J21" s="453"/>
    </row>
    <row r="23" spans="1:10" x14ac:dyDescent="0.2">
      <c r="A23" t="s">
        <v>554</v>
      </c>
    </row>
    <row r="24" spans="1:10" x14ac:dyDescent="0.2">
      <c r="B24" s="453" t="s">
        <v>551</v>
      </c>
      <c r="C24" s="453"/>
      <c r="D24" s="453"/>
      <c r="E24" s="453"/>
      <c r="F24" s="453"/>
      <c r="G24" s="453"/>
    </row>
    <row r="25" spans="1:10" x14ac:dyDescent="0.2">
      <c r="B25" s="453" t="s">
        <v>552</v>
      </c>
      <c r="C25" s="453"/>
      <c r="D25" s="453"/>
      <c r="E25" s="453"/>
      <c r="F25" s="453"/>
      <c r="G25" s="453"/>
    </row>
    <row r="26" spans="1:10" x14ac:dyDescent="0.2">
      <c r="B26" s="453" t="s">
        <v>553</v>
      </c>
      <c r="C26" s="453"/>
      <c r="D26" s="453"/>
      <c r="E26" s="453"/>
      <c r="F26" s="453"/>
      <c r="G26" s="453"/>
    </row>
    <row r="27" spans="1:10" x14ac:dyDescent="0.2">
      <c r="B27" s="262"/>
      <c r="C27" s="262"/>
      <c r="D27" s="262"/>
      <c r="E27" s="262"/>
      <c r="F27" s="262"/>
      <c r="G27" s="262"/>
    </row>
    <row r="28" spans="1:10" x14ac:dyDescent="0.2">
      <c r="B28" s="453" t="s">
        <v>573</v>
      </c>
      <c r="C28" s="453"/>
      <c r="D28" s="453"/>
      <c r="E28" s="453"/>
      <c r="F28" s="453"/>
      <c r="G28" s="453"/>
      <c r="H28" s="453"/>
      <c r="I28" s="453"/>
      <c r="J28" s="453"/>
    </row>
    <row r="29" spans="1:10" x14ac:dyDescent="0.2">
      <c r="B29" s="460" t="s">
        <v>567</v>
      </c>
      <c r="C29" s="460"/>
      <c r="D29" s="460"/>
      <c r="E29" s="460"/>
      <c r="F29" s="460"/>
      <c r="G29" s="460"/>
      <c r="H29" s="460"/>
      <c r="I29" s="460"/>
    </row>
    <row r="30" spans="1:10" x14ac:dyDescent="0.2">
      <c r="B30" s="460"/>
      <c r="C30" s="460"/>
      <c r="D30" s="460"/>
      <c r="E30" s="460"/>
      <c r="F30" s="460"/>
      <c r="G30" s="460"/>
      <c r="H30" s="460"/>
      <c r="I30" s="460"/>
    </row>
    <row r="32" spans="1:10" x14ac:dyDescent="0.2">
      <c r="A32" s="453" t="s">
        <v>555</v>
      </c>
      <c r="B32" s="453"/>
      <c r="C32" s="453"/>
      <c r="D32" s="453"/>
      <c r="E32" s="453"/>
      <c r="F32" s="453"/>
      <c r="G32" s="453"/>
      <c r="H32" s="453"/>
    </row>
    <row r="33" spans="1:10" x14ac:dyDescent="0.2">
      <c r="B33" t="s">
        <v>556</v>
      </c>
    </row>
    <row r="34" spans="1:10" x14ac:dyDescent="0.2">
      <c r="B34" s="453" t="s">
        <v>571</v>
      </c>
      <c r="C34" s="453"/>
      <c r="D34" s="453"/>
      <c r="E34" s="453"/>
      <c r="F34" s="453"/>
      <c r="G34" s="453"/>
      <c r="H34" s="453"/>
      <c r="I34" s="453"/>
      <c r="J34" s="453"/>
    </row>
    <row r="35" spans="1:10" x14ac:dyDescent="0.2">
      <c r="B35" s="453" t="s">
        <v>572</v>
      </c>
      <c r="C35" s="453"/>
      <c r="D35" s="453"/>
      <c r="E35" s="453"/>
      <c r="F35" s="453"/>
      <c r="G35" s="453"/>
      <c r="H35" s="453"/>
      <c r="I35" s="453"/>
    </row>
    <row r="36" spans="1:10" x14ac:dyDescent="0.2">
      <c r="B36" t="s">
        <v>557</v>
      </c>
    </row>
    <row r="37" spans="1:10" x14ac:dyDescent="0.2">
      <c r="B37" t="s">
        <v>558</v>
      </c>
    </row>
    <row r="39" spans="1:10" x14ac:dyDescent="0.2">
      <c r="B39" s="453" t="s">
        <v>573</v>
      </c>
      <c r="C39" s="453"/>
      <c r="D39" s="453"/>
      <c r="E39" s="453"/>
      <c r="F39" s="453"/>
      <c r="G39" s="453"/>
      <c r="H39" s="453"/>
      <c r="I39" s="453"/>
      <c r="J39" s="453"/>
    </row>
    <row r="40" spans="1:10" x14ac:dyDescent="0.2">
      <c r="B40" s="460" t="s">
        <v>568</v>
      </c>
      <c r="C40" s="460"/>
      <c r="D40" s="460"/>
      <c r="E40" s="460"/>
      <c r="F40" s="460"/>
      <c r="G40" s="460"/>
      <c r="H40" s="460"/>
      <c r="I40" s="460"/>
    </row>
    <row r="41" spans="1:10" x14ac:dyDescent="0.2">
      <c r="B41" s="460"/>
      <c r="C41" s="460"/>
      <c r="D41" s="460"/>
      <c r="E41" s="460"/>
      <c r="F41" s="460"/>
      <c r="G41" s="460"/>
      <c r="H41" s="460"/>
      <c r="I41" s="460"/>
    </row>
    <row r="43" spans="1:10" ht="12.75" customHeight="1" x14ac:dyDescent="0.2">
      <c r="A43" s="460" t="s">
        <v>550</v>
      </c>
      <c r="B43" s="460"/>
      <c r="C43" s="460"/>
      <c r="D43" s="460"/>
      <c r="E43" s="460"/>
      <c r="F43" s="460"/>
      <c r="G43" s="460"/>
      <c r="H43" s="460"/>
      <c r="I43" s="460"/>
      <c r="J43" s="460"/>
    </row>
    <row r="44" spans="1:10" x14ac:dyDescent="0.2">
      <c r="A44" s="460"/>
      <c r="B44" s="460"/>
      <c r="C44" s="460"/>
      <c r="D44" s="460"/>
      <c r="E44" s="460"/>
      <c r="F44" s="460"/>
      <c r="G44" s="460"/>
      <c r="H44" s="460"/>
      <c r="I44" s="460"/>
      <c r="J44" s="460"/>
    </row>
    <row r="45" spans="1:10" x14ac:dyDescent="0.2">
      <c r="A45" s="460"/>
      <c r="B45" s="460"/>
      <c r="C45" s="460"/>
      <c r="D45" s="460"/>
      <c r="E45" s="460"/>
      <c r="F45" s="460"/>
      <c r="G45" s="460"/>
      <c r="H45" s="460"/>
      <c r="I45" s="460"/>
      <c r="J45" s="460"/>
    </row>
    <row r="46" spans="1:10" x14ac:dyDescent="0.2">
      <c r="A46" s="460"/>
      <c r="B46" s="460"/>
      <c r="C46" s="460"/>
      <c r="D46" s="460"/>
      <c r="E46" s="460"/>
      <c r="F46" s="460"/>
      <c r="G46" s="460"/>
      <c r="H46" s="460"/>
      <c r="I46" s="460"/>
      <c r="J46" s="460"/>
    </row>
    <row r="47" spans="1:10" x14ac:dyDescent="0.2">
      <c r="A47" s="460"/>
      <c r="B47" s="460"/>
      <c r="C47" s="460"/>
      <c r="D47" s="460"/>
      <c r="E47" s="460"/>
      <c r="F47" s="460"/>
      <c r="G47" s="460"/>
      <c r="H47" s="460"/>
      <c r="I47" s="460"/>
      <c r="J47" s="460"/>
    </row>
    <row r="49" spans="1:10" x14ac:dyDescent="0.2">
      <c r="A49" s="460" t="s">
        <v>626</v>
      </c>
      <c r="B49" s="460"/>
      <c r="C49" s="460"/>
      <c r="D49" s="460"/>
      <c r="E49" s="460"/>
      <c r="F49" s="460"/>
      <c r="G49" s="460"/>
      <c r="H49" s="460"/>
      <c r="I49" s="460"/>
      <c r="J49" s="460"/>
    </row>
    <row r="50" spans="1:10" x14ac:dyDescent="0.2">
      <c r="A50" s="460"/>
      <c r="B50" s="460"/>
      <c r="C50" s="460"/>
      <c r="D50" s="460"/>
      <c r="E50" s="460"/>
      <c r="F50" s="460"/>
      <c r="G50" s="460"/>
      <c r="H50" s="460"/>
      <c r="I50" s="460"/>
      <c r="J50" s="460"/>
    </row>
    <row r="51" spans="1:10" x14ac:dyDescent="0.2">
      <c r="A51" s="385"/>
      <c r="B51" s="385"/>
      <c r="C51" s="385"/>
      <c r="D51" s="385"/>
      <c r="E51" s="385"/>
      <c r="F51" s="385"/>
      <c r="G51" s="385"/>
      <c r="H51" s="385"/>
      <c r="I51" s="385"/>
      <c r="J51" s="385"/>
    </row>
    <row r="52" spans="1:10" ht="12.75" customHeight="1" x14ac:dyDescent="0.2">
      <c r="A52" s="459" t="s">
        <v>647</v>
      </c>
      <c r="B52" s="459"/>
      <c r="C52" s="459"/>
      <c r="D52" s="459"/>
      <c r="E52" s="459"/>
      <c r="F52" s="459"/>
      <c r="G52" s="459"/>
      <c r="H52" s="459"/>
      <c r="I52" s="459"/>
      <c r="J52" s="459"/>
    </row>
    <row r="53" spans="1:10" x14ac:dyDescent="0.2">
      <c r="A53" s="461" t="s">
        <v>648</v>
      </c>
      <c r="B53" s="460"/>
      <c r="C53" s="460"/>
      <c r="D53" s="460"/>
      <c r="E53" s="460"/>
      <c r="F53" s="460"/>
      <c r="G53" s="460"/>
      <c r="H53" s="460"/>
      <c r="I53" s="460"/>
      <c r="J53" s="460"/>
    </row>
    <row r="55" spans="1:10" x14ac:dyDescent="0.2">
      <c r="A55" t="s">
        <v>574</v>
      </c>
    </row>
    <row r="56" spans="1:10" x14ac:dyDescent="0.2">
      <c r="A56" t="s">
        <v>575</v>
      </c>
    </row>
    <row r="58" spans="1:10" x14ac:dyDescent="0.2">
      <c r="A58" s="453" t="s">
        <v>561</v>
      </c>
      <c r="B58" s="453"/>
      <c r="C58" s="453"/>
      <c r="D58" s="453"/>
      <c r="E58" s="453"/>
      <c r="F58" s="453"/>
      <c r="G58" s="453"/>
    </row>
    <row r="59" spans="1:10" x14ac:dyDescent="0.2">
      <c r="A59" s="274" t="s">
        <v>675</v>
      </c>
      <c r="B59" s="275">
        <v>43207</v>
      </c>
    </row>
    <row r="64" spans="1:10" x14ac:dyDescent="0.2">
      <c r="A64" s="298" t="s">
        <v>592</v>
      </c>
    </row>
    <row r="66" spans="1:5" s="274" customFormat="1" ht="11.25" x14ac:dyDescent="0.2">
      <c r="A66" s="274" t="s">
        <v>576</v>
      </c>
      <c r="B66" s="275">
        <v>40182</v>
      </c>
      <c r="C66" s="274" t="s">
        <v>593</v>
      </c>
    </row>
    <row r="67" spans="1:5" s="274" customFormat="1" ht="11.25" x14ac:dyDescent="0.2">
      <c r="C67" s="274" t="s">
        <v>594</v>
      </c>
    </row>
    <row r="68" spans="1:5" s="274" customFormat="1" ht="11.25" x14ac:dyDescent="0.2">
      <c r="C68" s="274" t="s">
        <v>595</v>
      </c>
    </row>
    <row r="69" spans="1:5" s="274" customFormat="1" ht="11.25" x14ac:dyDescent="0.2"/>
    <row r="70" spans="1:5" s="274" customFormat="1" ht="11.25" x14ac:dyDescent="0.2">
      <c r="A70" s="274" t="s">
        <v>596</v>
      </c>
      <c r="B70" s="275">
        <v>40184</v>
      </c>
      <c r="C70" s="274" t="s">
        <v>597</v>
      </c>
    </row>
    <row r="71" spans="1:5" s="274" customFormat="1" ht="11.25" x14ac:dyDescent="0.2">
      <c r="C71" s="274" t="s">
        <v>598</v>
      </c>
    </row>
    <row r="72" spans="1:5" s="274" customFormat="1" ht="11.25" x14ac:dyDescent="0.2"/>
    <row r="73" spans="1:5" s="274" customFormat="1" ht="11.25" x14ac:dyDescent="0.2">
      <c r="A73" s="274" t="s">
        <v>623</v>
      </c>
      <c r="B73" s="275">
        <v>40205</v>
      </c>
      <c r="C73" s="274" t="s">
        <v>629</v>
      </c>
    </row>
    <row r="74" spans="1:5" s="274" customFormat="1" ht="11.25" x14ac:dyDescent="0.2">
      <c r="C74" s="274" t="s">
        <v>627</v>
      </c>
    </row>
    <row r="75" spans="1:5" s="274" customFormat="1" ht="11.25" x14ac:dyDescent="0.2"/>
    <row r="76" spans="1:5" s="274" customFormat="1" ht="11.25" x14ac:dyDescent="0.2">
      <c r="A76" s="392" t="s">
        <v>630</v>
      </c>
      <c r="B76" s="275">
        <v>42384</v>
      </c>
      <c r="C76" s="274" t="s">
        <v>631</v>
      </c>
    </row>
    <row r="77" spans="1:5" x14ac:dyDescent="0.2">
      <c r="A77" s="274"/>
      <c r="B77" s="274"/>
      <c r="D77" s="274"/>
      <c r="E77" s="274"/>
    </row>
    <row r="78" spans="1:5" x14ac:dyDescent="0.2">
      <c r="A78" s="392" t="s">
        <v>646</v>
      </c>
      <c r="B78" s="405">
        <v>42614</v>
      </c>
      <c r="C78" s="392" t="s">
        <v>645</v>
      </c>
    </row>
    <row r="80" spans="1:5" x14ac:dyDescent="0.2">
      <c r="A80" s="274" t="s">
        <v>675</v>
      </c>
      <c r="B80" s="405">
        <v>43207</v>
      </c>
      <c r="C80" s="274" t="s">
        <v>676</v>
      </c>
    </row>
  </sheetData>
  <sheetProtection password="C74B" sheet="1" objects="1" scenarios="1"/>
  <mergeCells count="27">
    <mergeCell ref="A58:G58"/>
    <mergeCell ref="A49:J50"/>
    <mergeCell ref="B25:G25"/>
    <mergeCell ref="B26:G26"/>
    <mergeCell ref="A32:H32"/>
    <mergeCell ref="A43:J47"/>
    <mergeCell ref="B29:I30"/>
    <mergeCell ref="B34:J34"/>
    <mergeCell ref="B35:I35"/>
    <mergeCell ref="B28:J28"/>
    <mergeCell ref="A52:J52"/>
    <mergeCell ref="A53:J53"/>
    <mergeCell ref="B39:J39"/>
    <mergeCell ref="B40:I41"/>
    <mergeCell ref="A3:H3"/>
    <mergeCell ref="A4:H4"/>
    <mergeCell ref="A6:C6"/>
    <mergeCell ref="A11:J13"/>
    <mergeCell ref="A8:F8"/>
    <mergeCell ref="B9:E9"/>
    <mergeCell ref="A15:J15"/>
    <mergeCell ref="B24:G24"/>
    <mergeCell ref="B16:J16"/>
    <mergeCell ref="A19:J19"/>
    <mergeCell ref="B20:J20"/>
    <mergeCell ref="B17:J17"/>
    <mergeCell ref="B21:J21"/>
  </mergeCells>
  <phoneticPr fontId="11" type="noConversion"/>
  <pageMargins left="0.5" right="0.5" top="0.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E40"/>
  <sheetViews>
    <sheetView showGridLines="0" tabSelected="1" zoomScale="95" workbookViewId="0">
      <selection activeCell="C5" sqref="C5"/>
    </sheetView>
  </sheetViews>
  <sheetFormatPr defaultRowHeight="12.75" x14ac:dyDescent="0.2"/>
  <cols>
    <col min="1" max="1" width="1.7109375" style="135" customWidth="1"/>
    <col min="2" max="2" width="15.42578125" style="135" customWidth="1"/>
    <col min="3" max="3" width="8.28515625" style="135" customWidth="1"/>
    <col min="4" max="4" width="4.42578125" style="135" customWidth="1"/>
    <col min="5" max="5" width="1" style="135" customWidth="1"/>
    <col min="6" max="6" width="9.5703125" style="135" customWidth="1"/>
    <col min="7" max="7" width="7.28515625" style="135" customWidth="1"/>
    <col min="8" max="8" width="1" style="135" customWidth="1"/>
    <col min="9" max="9" width="9.42578125" style="135" customWidth="1"/>
    <col min="10" max="10" width="5.140625" style="135" customWidth="1"/>
    <col min="11" max="11" width="1" style="135" customWidth="1"/>
    <col min="12" max="12" width="18" style="135" customWidth="1"/>
    <col min="13" max="13" width="6.28515625" style="135" customWidth="1"/>
    <col min="14" max="14" width="4.85546875" style="135" customWidth="1"/>
    <col min="15" max="15" width="1" style="135" customWidth="1"/>
    <col min="16" max="16" width="2" style="135" customWidth="1"/>
    <col min="17" max="17" width="15.5703125" style="135" customWidth="1"/>
    <col min="18" max="18" width="1" style="135" customWidth="1"/>
    <col min="19" max="19" width="10" style="135" customWidth="1"/>
    <col min="20" max="20" width="4.85546875" style="135" customWidth="1"/>
    <col min="21" max="21" width="6.5703125" style="135" customWidth="1"/>
    <col min="22" max="22" width="9.5703125" style="135" customWidth="1"/>
    <col min="23" max="23" width="1.140625" style="135" customWidth="1"/>
    <col min="24" max="24" width="17.85546875" style="208" customWidth="1"/>
    <col min="25" max="16384" width="9.140625" style="135"/>
  </cols>
  <sheetData>
    <row r="1" spans="2:31" ht="13.5" thickBot="1" x14ac:dyDescent="0.25">
      <c r="B1" s="352"/>
      <c r="C1" s="352"/>
      <c r="D1" s="541" t="s">
        <v>427</v>
      </c>
      <c r="E1" s="541"/>
      <c r="F1" s="541"/>
      <c r="G1" s="541"/>
      <c r="H1" s="541"/>
      <c r="I1" s="541"/>
      <c r="J1" s="541"/>
      <c r="K1" s="301"/>
      <c r="L1" s="301"/>
      <c r="M1" s="250"/>
      <c r="N1" s="521" t="s">
        <v>542</v>
      </c>
      <c r="O1" s="522"/>
      <c r="P1" s="522"/>
      <c r="Q1" s="522"/>
      <c r="R1" s="522"/>
      <c r="S1" s="523"/>
      <c r="T1" s="261"/>
      <c r="U1" s="524" t="s">
        <v>541</v>
      </c>
      <c r="V1" s="525"/>
      <c r="X1" s="207" t="s">
        <v>33</v>
      </c>
    </row>
    <row r="2" spans="2:31" x14ac:dyDescent="0.2">
      <c r="B2" s="352"/>
      <c r="C2" s="352"/>
      <c r="D2" s="301"/>
      <c r="E2" s="301"/>
      <c r="F2" s="438" t="s">
        <v>542</v>
      </c>
      <c r="G2" s="439"/>
      <c r="H2" s="439"/>
      <c r="I2" s="439"/>
      <c r="J2" s="534" t="s">
        <v>541</v>
      </c>
      <c r="K2" s="534"/>
      <c r="L2" s="534"/>
      <c r="M2" s="534"/>
      <c r="N2" s="534"/>
      <c r="O2" s="534"/>
      <c r="P2" s="534"/>
      <c r="Q2" s="437"/>
      <c r="R2" s="437"/>
      <c r="S2" s="437"/>
      <c r="T2" s="259"/>
      <c r="U2" s="353"/>
      <c r="V2" s="354"/>
      <c r="X2" s="207"/>
    </row>
    <row r="3" spans="2:31" x14ac:dyDescent="0.2">
      <c r="B3" s="352"/>
      <c r="C3" s="352"/>
      <c r="D3" s="301"/>
      <c r="E3" s="301"/>
      <c r="F3" s="537" t="str">
        <f>IF(AND(logCryptoR&lt;&gt;"",E39&lt;&gt;"",B39=1),"Microcystin CT requires Cl2 (free) or Ozone","")</f>
        <v/>
      </c>
      <c r="G3" s="537"/>
      <c r="H3" s="537"/>
      <c r="I3" s="537"/>
      <c r="J3" s="537"/>
      <c r="K3" s="537"/>
      <c r="L3" s="388"/>
      <c r="M3" s="388"/>
      <c r="N3" s="388"/>
      <c r="O3" s="388"/>
      <c r="P3" s="388"/>
      <c r="Q3" s="507" t="s">
        <v>537</v>
      </c>
      <c r="R3" s="508"/>
      <c r="S3" s="138"/>
      <c r="T3" s="386" t="s">
        <v>566</v>
      </c>
      <c r="U3" s="387"/>
      <c r="V3" s="387"/>
      <c r="X3" s="207"/>
    </row>
    <row r="4" spans="2:31" x14ac:dyDescent="0.2">
      <c r="B4" s="464"/>
      <c r="C4" s="464"/>
      <c r="D4" s="464"/>
      <c r="E4" s="356"/>
      <c r="F4" s="537"/>
      <c r="G4" s="537"/>
      <c r="H4" s="537"/>
      <c r="I4" s="537"/>
      <c r="J4" s="537"/>
      <c r="K4" s="537"/>
      <c r="L4" s="435"/>
      <c r="M4" s="435"/>
      <c r="N4" s="435"/>
      <c r="O4" s="435"/>
      <c r="P4" s="435"/>
      <c r="Q4" s="535" t="s">
        <v>536</v>
      </c>
      <c r="R4" s="536"/>
      <c r="S4" s="138"/>
      <c r="T4" s="386" t="s">
        <v>566</v>
      </c>
      <c r="U4" s="387"/>
      <c r="V4" s="387"/>
      <c r="X4" s="207" t="s">
        <v>12</v>
      </c>
    </row>
    <row r="5" spans="2:31" x14ac:dyDescent="0.2">
      <c r="B5" s="135" t="s">
        <v>27</v>
      </c>
      <c r="C5" s="138"/>
      <c r="D5" s="135" t="s">
        <v>29</v>
      </c>
      <c r="E5" s="356"/>
      <c r="F5" s="537" t="str">
        <f>IF(AND(logCryptoR&lt;&gt;"",E38&lt;&gt;"",B38=1),"Cryptosporidium CT requires Chlorine Dioxide or Ozone or UV","")</f>
        <v/>
      </c>
      <c r="G5" s="537"/>
      <c r="H5" s="537"/>
      <c r="I5" s="537"/>
      <c r="J5" s="537"/>
      <c r="K5" s="537"/>
      <c r="L5" s="533" t="s">
        <v>628</v>
      </c>
      <c r="M5" s="533"/>
      <c r="N5" s="533"/>
      <c r="O5" s="533"/>
      <c r="Q5" s="535" t="s">
        <v>621</v>
      </c>
      <c r="R5" s="536"/>
      <c r="S5" s="355"/>
      <c r="T5" s="542" t="s">
        <v>566</v>
      </c>
      <c r="U5" s="504"/>
      <c r="V5" s="504"/>
      <c r="X5" s="207" t="s">
        <v>15</v>
      </c>
    </row>
    <row r="6" spans="2:31" ht="13.5" thickBot="1" x14ac:dyDescent="0.25">
      <c r="B6" s="135" t="s">
        <v>28</v>
      </c>
      <c r="C6" s="139"/>
      <c r="D6" s="135" t="s">
        <v>29</v>
      </c>
      <c r="E6" s="356"/>
      <c r="F6" s="537"/>
      <c r="G6" s="537"/>
      <c r="H6" s="537"/>
      <c r="I6" s="537"/>
      <c r="J6" s="537"/>
      <c r="K6" s="537"/>
      <c r="L6" s="533" t="s">
        <v>590</v>
      </c>
      <c r="M6" s="533"/>
      <c r="N6" s="533"/>
      <c r="O6" s="533"/>
      <c r="Q6" s="505" t="s">
        <v>665</v>
      </c>
      <c r="R6" s="506"/>
      <c r="S6" s="355"/>
      <c r="T6" s="503" t="s">
        <v>632</v>
      </c>
      <c r="U6" s="504"/>
      <c r="V6" s="504"/>
      <c r="W6" s="136"/>
      <c r="X6" s="207" t="s">
        <v>16</v>
      </c>
    </row>
    <row r="7" spans="2:31" ht="13.5" customHeight="1" x14ac:dyDescent="0.2">
      <c r="B7" s="526"/>
      <c r="C7" s="526"/>
      <c r="D7" s="526"/>
      <c r="E7" s="509" t="s">
        <v>538</v>
      </c>
      <c r="F7" s="509"/>
      <c r="G7" s="509"/>
      <c r="H7" s="509"/>
      <c r="I7" s="509"/>
      <c r="J7" s="509"/>
      <c r="K7" s="250"/>
      <c r="L7" s="533" t="s">
        <v>591</v>
      </c>
      <c r="M7" s="533"/>
      <c r="N7" s="533"/>
      <c r="O7" s="533"/>
      <c r="P7" s="464"/>
      <c r="Q7" s="464"/>
      <c r="R7" s="464"/>
      <c r="S7" s="464"/>
      <c r="T7" s="519"/>
      <c r="U7" s="530" t="s">
        <v>565</v>
      </c>
      <c r="V7" s="527" t="s">
        <v>564</v>
      </c>
      <c r="W7" s="271"/>
      <c r="X7" s="273" t="s">
        <v>17</v>
      </c>
      <c r="Y7" s="272"/>
      <c r="Z7" s="272"/>
      <c r="AA7" s="272"/>
      <c r="AB7" s="272"/>
      <c r="AC7" s="272"/>
      <c r="AD7" s="272"/>
      <c r="AE7" s="272"/>
    </row>
    <row r="8" spans="2:31" ht="3.95" customHeight="1" thickBot="1" x14ac:dyDescent="0.25">
      <c r="B8" s="253"/>
      <c r="C8" s="253"/>
      <c r="D8" s="253"/>
      <c r="E8" s="252"/>
      <c r="F8" s="252"/>
      <c r="G8" s="252"/>
      <c r="H8" s="252"/>
      <c r="I8" s="252"/>
      <c r="J8" s="253"/>
      <c r="K8" s="253"/>
      <c r="L8" s="259"/>
      <c r="M8" s="253"/>
      <c r="N8" s="253"/>
      <c r="O8" s="250"/>
      <c r="R8" s="259"/>
      <c r="T8" s="259"/>
      <c r="U8" s="531"/>
      <c r="V8" s="528"/>
      <c r="W8" s="271"/>
      <c r="X8" s="273" t="s">
        <v>18</v>
      </c>
      <c r="Y8" s="272"/>
      <c r="Z8" s="272"/>
      <c r="AA8" s="272"/>
      <c r="AB8" s="272"/>
      <c r="AC8" s="272"/>
      <c r="AD8" s="272"/>
      <c r="AE8" s="272"/>
    </row>
    <row r="9" spans="2:31" ht="13.5" thickBot="1" x14ac:dyDescent="0.25">
      <c r="B9" s="538" t="str">
        <f>Q10</f>
        <v>Clearwell</v>
      </c>
      <c r="C9" s="539"/>
      <c r="D9" s="539"/>
      <c r="E9" s="540"/>
      <c r="F9" s="543" t="str">
        <f>IF(AND(C13&gt;9,logGiardiaR&lt;&gt;"",Calculations!F4&lt;&gt;"",OR(B12="Cl2 (free)",B12="Chloramine")),"No Giardia CT",IF((Calculations!I4=""),"",CONCATENATE(FIXED((Calculations!I4*100),1,TRUE),"% Giardia")))</f>
        <v/>
      </c>
      <c r="G9" s="544"/>
      <c r="H9" s="151"/>
      <c r="I9" s="545" t="str">
        <f>IF(OR(AND(C13&gt;10,B12="Cl2 (free)",Calculations!F4&lt;&gt;"",logVirusR&lt;&gt;""),AND(C13&gt;9,B12="Chlorine Dioxide",Calculations!F4&lt;&gt;"",logVirusR&lt;&gt;"")),"No Virus CT",IF((Calculations!L4=""),"",CONCATENATE(FIXED((Calculations!L4*100),1,TRUE),"% Virus")))</f>
        <v/>
      </c>
      <c r="J9" s="546"/>
      <c r="K9" s="357"/>
      <c r="L9" s="404" t="str">
        <f>IF(AND(logCryptoR&lt;&gt;"",Calculations!F4&lt;&gt;"",OR(B12="Cl2 (free)",B12="Chloramine")),"No Crypto CT",IF((Calculations!Q4=""),"",CONCATENATE(FIXED((Calculations!Q4*100),1,TRUE),"% Crypto")))</f>
        <v/>
      </c>
      <c r="M9" s="402"/>
      <c r="N9" s="359"/>
      <c r="O9" s="250"/>
      <c r="P9" s="501" t="s">
        <v>472</v>
      </c>
      <c r="Q9" s="502"/>
      <c r="R9" s="288"/>
      <c r="S9" s="280"/>
      <c r="T9" s="289"/>
      <c r="U9" s="532"/>
      <c r="V9" s="529"/>
      <c r="W9" s="271"/>
      <c r="X9" s="273" t="s">
        <v>19</v>
      </c>
      <c r="Y9" s="272"/>
      <c r="Z9" s="272"/>
      <c r="AA9" s="272"/>
      <c r="AB9" s="272"/>
      <c r="AC9" s="272"/>
      <c r="AD9" s="272"/>
      <c r="AE9" s="272"/>
    </row>
    <row r="10" spans="2:31" x14ac:dyDescent="0.2">
      <c r="B10" s="152" t="s">
        <v>25</v>
      </c>
      <c r="C10" s="140"/>
      <c r="D10" s="137"/>
      <c r="E10" s="137"/>
      <c r="F10" s="468" t="str">
        <f>IF(Calculations!F4="","",CONCATENATE("CT=",ROUND(Calculations!F4,1)," min-mg/l"))</f>
        <v/>
      </c>
      <c r="G10" s="469"/>
      <c r="H10" s="260"/>
      <c r="I10" s="473" t="str">
        <f>IF(Calculations!E4="","",CONCATENATE("T10=  ",ROUND(Calculations!E4,2),"-min"))</f>
        <v/>
      </c>
      <c r="J10" s="474"/>
      <c r="K10" s="299"/>
      <c r="L10" s="442" t="str">
        <f>IF(AND(MicrocystinR&lt;&gt;"",Calculations!F4&lt;&gt;"",OR(B12="Chloramine",B12="Chlorine Dioxide",ph_1&gt;9)),"No Microcystin CT",IF((Calculations!V4=""),"",CONCATENATE(FIXED((Calculations!V4*100),1,TRUE),"% Microcystin")))</f>
        <v/>
      </c>
      <c r="M10" s="547" t="str">
        <f>IF(Calculations!F15="","",IF(Calculations!F15&lt;0,"0 ft",CONCATENATE(ROUND(Calculations!F15,2)," ft")))</f>
        <v/>
      </c>
      <c r="N10" s="548"/>
      <c r="O10" s="250"/>
      <c r="P10" s="152">
        <v>1</v>
      </c>
      <c r="Q10" s="287" t="s">
        <v>21</v>
      </c>
      <c r="R10" s="261"/>
      <c r="S10" s="196"/>
      <c r="T10" s="151" t="s">
        <v>24</v>
      </c>
      <c r="U10" s="197"/>
      <c r="V10" s="446"/>
      <c r="W10" s="271"/>
      <c r="X10" s="273" t="s">
        <v>20</v>
      </c>
      <c r="Y10" s="272"/>
      <c r="Z10" s="272"/>
      <c r="AA10" s="272"/>
      <c r="AB10" s="272"/>
      <c r="AC10" s="272"/>
      <c r="AD10" s="272"/>
      <c r="AE10" s="272"/>
    </row>
    <row r="11" spans="2:31" x14ac:dyDescent="0.2">
      <c r="B11" s="450" t="s">
        <v>674</v>
      </c>
      <c r="C11" s="138"/>
      <c r="D11" s="138"/>
      <c r="F11" s="483" t="str">
        <f>IF(OR(AND(D11="F",C11&lt;32),AND(C11&gt;100,D11="C")),"TEMP. ERROR!",IF(AND(C11&lt;&gt;"",D11=""),"Select C or F",""))</f>
        <v/>
      </c>
      <c r="G11" s="483"/>
      <c r="H11" s="483"/>
      <c r="I11" s="484" t="str">
        <f>IF(AND(MicrocystinR&lt;&gt;"",C12&lt;&gt;"",OR(B12="Chlorine Dioxide",B12="Chloramine")),"Change the Disinfectant for Microcystin CT","")</f>
        <v/>
      </c>
      <c r="J11" s="484"/>
      <c r="K11" s="484"/>
      <c r="L11" s="484"/>
      <c r="M11" s="549" t="str">
        <f>IF(AND(M10&lt;&gt;"",M12&lt;&gt;""),"or","")</f>
        <v/>
      </c>
      <c r="N11" s="550"/>
      <c r="O11" s="250"/>
      <c r="P11" s="463"/>
      <c r="Q11" s="519"/>
      <c r="R11" s="510"/>
      <c r="S11" s="511"/>
      <c r="T11" s="511"/>
      <c r="U11" s="511"/>
      <c r="V11" s="512"/>
      <c r="W11" s="271"/>
      <c r="X11" s="273" t="s">
        <v>22</v>
      </c>
      <c r="Y11" s="272"/>
      <c r="Z11" s="272"/>
      <c r="AA11" s="272"/>
      <c r="AB11" s="272"/>
      <c r="AC11" s="272"/>
      <c r="AD11" s="272"/>
      <c r="AE11" s="272"/>
    </row>
    <row r="12" spans="2:31" x14ac:dyDescent="0.2">
      <c r="B12" s="257" t="s">
        <v>442</v>
      </c>
      <c r="C12" s="141"/>
      <c r="D12" s="137"/>
      <c r="E12" s="464"/>
      <c r="F12" s="464"/>
      <c r="G12" s="464"/>
      <c r="H12" s="464"/>
      <c r="I12" s="464"/>
      <c r="J12" s="464"/>
      <c r="K12" s="299"/>
      <c r="L12" s="299"/>
      <c r="M12" s="361" t="str">
        <f>IF(Calculations!BE4="","",Calculations!BE4)</f>
        <v/>
      </c>
      <c r="N12" s="362" t="str">
        <f>IF(M12="","","mg/l")</f>
        <v/>
      </c>
      <c r="O12" s="250"/>
      <c r="P12" s="463"/>
      <c r="Q12" s="519"/>
      <c r="R12" s="463" t="s">
        <v>471</v>
      </c>
      <c r="S12" s="464"/>
      <c r="T12" s="465"/>
      <c r="U12" s="256"/>
      <c r="V12" s="153" t="s">
        <v>543</v>
      </c>
      <c r="W12" s="271"/>
      <c r="X12" s="273" t="s">
        <v>23</v>
      </c>
      <c r="Y12" s="272"/>
      <c r="Z12" s="272"/>
      <c r="AA12" s="272"/>
      <c r="AB12" s="272"/>
      <c r="AC12" s="272"/>
      <c r="AD12" s="272"/>
      <c r="AE12" s="272"/>
    </row>
    <row r="13" spans="2:31" ht="13.5" thickBot="1" x14ac:dyDescent="0.25">
      <c r="B13" s="154" t="s">
        <v>9</v>
      </c>
      <c r="C13" s="155"/>
      <c r="D13" s="466" t="str">
        <f>IF(AND(ph_1&gt;10,B12="Cl2 (free)",logVirusR&lt;&gt;"",OR(logGiardiaR&lt;&gt;"",MicrocystinR&lt;&gt;"")),"Lower the pH for CT with Cl2",IF(AND(ph_1&gt;9,B12="Cl2 (free)",logGiardiaR&lt;&gt;"",MicrocystinR&lt;&gt;""),"Lower the pH for CT with Cl2",IF(AND(ph_1&gt;9,B12="Cl2 (free)",logGiardiaR="",MicrocystinR&lt;&gt;""),"Lower the pH for Microcystin CT with Cl2",IF(AND(ph_1&gt;9,logGiardiaR&lt;&gt;"",MicrocystinR="",B12="Cl2 (free)"),"Lower the pH for Giardia CT with Cl2",IF(AND(ph_1&gt;9,logGiardiaR&lt;&gt;"",B12="Chloramine"),"Lower the pH for Giardia CT with NH2Cl",IF(AND(ph_1&gt;10,B12="Cl2 (free)",logVirusR&lt;&gt;"",logGiardiaR="",MicrocystinR=""),"Lower the pH for Virus CT with Cl2",IF(AND(ph_1&gt;9,B12="Chlorine Dioxide",logVirusR&lt;&gt;""),"Lower the pH for Virus CT with ClO2","")))))))</f>
        <v/>
      </c>
      <c r="E13" s="467"/>
      <c r="F13" s="467"/>
      <c r="G13" s="467"/>
      <c r="H13" s="467"/>
      <c r="I13" s="467"/>
      <c r="J13" s="486" t="str">
        <f>IF(AND(logCryptoR&lt;&gt;"",C12&lt;&gt;"",OR(B12="Cl2 (free)",B12="Chloramine")),"Change the Disinfectant for Crypto CT","")</f>
        <v/>
      </c>
      <c r="K13" s="486"/>
      <c r="L13" s="486"/>
      <c r="M13" s="486"/>
      <c r="N13" s="487"/>
      <c r="O13" s="250"/>
      <c r="P13" s="513"/>
      <c r="Q13" s="520"/>
      <c r="R13" s="513"/>
      <c r="S13" s="514"/>
      <c r="T13" s="515"/>
      <c r="U13" s="267"/>
      <c r="V13" s="268" t="s">
        <v>544</v>
      </c>
      <c r="W13" s="271"/>
      <c r="Y13" s="272"/>
      <c r="Z13" s="272"/>
      <c r="AA13" s="272"/>
      <c r="AB13" s="272"/>
      <c r="AC13" s="272"/>
      <c r="AD13" s="272"/>
      <c r="AE13" s="272"/>
    </row>
    <row r="14" spans="2:31" ht="3.95" customHeight="1" thickBot="1" x14ac:dyDescent="0.25">
      <c r="B14" s="475"/>
      <c r="C14" s="475"/>
      <c r="D14" s="475"/>
      <c r="E14" s="475"/>
      <c r="F14" s="475"/>
      <c r="G14" s="475"/>
      <c r="H14" s="475"/>
      <c r="I14" s="475"/>
      <c r="J14" s="475"/>
      <c r="K14" s="475"/>
      <c r="L14" s="485"/>
      <c r="M14" s="475"/>
      <c r="N14" s="475"/>
      <c r="O14" s="250"/>
      <c r="P14" s="475"/>
      <c r="Q14" s="475"/>
      <c r="R14" s="462"/>
      <c r="S14" s="462"/>
      <c r="T14" s="462"/>
      <c r="U14" s="462"/>
      <c r="V14" s="462"/>
      <c r="W14" s="271"/>
      <c r="Y14" s="272"/>
      <c r="Z14" s="272"/>
      <c r="AA14" s="272"/>
      <c r="AB14" s="272"/>
      <c r="AC14" s="272"/>
      <c r="AD14" s="272"/>
      <c r="AE14" s="272"/>
    </row>
    <row r="15" spans="2:31" x14ac:dyDescent="0.2">
      <c r="B15" s="492" t="str">
        <f>IF(Q15="","Segment 2",Q15)</f>
        <v>Segment 2</v>
      </c>
      <c r="C15" s="493"/>
      <c r="D15" s="493"/>
      <c r="E15" s="494"/>
      <c r="F15" s="488" t="str">
        <f>IF(AND(C18&gt;9,logGiardiaR&lt;&gt;"",Calculations!F6&lt;&gt;"",OR(B17="Cl2 (free)",B17="Chloramine")),"No Giardia CT",IF((Calculations!I6=""),"",CONCATENATE(FIXED((Calculations!I6*100),1,TRUE),"% Giardia")))</f>
        <v/>
      </c>
      <c r="G15" s="489"/>
      <c r="H15" s="137"/>
      <c r="I15" s="490" t="str">
        <f>IF(OR(AND(C13&gt;10,B12="Cl2 (free)",Calculations!F6&lt;&gt;"",logVirusR&lt;&gt;""),AND(C13&gt;9,B12="Chlorine Dioxide",Calculations!F6&lt;&gt;"",logVirusR&lt;&gt;"")),"No Virus CT",IF((Calculations!L6=""),"",CONCATENATE(FIXED((Calculations!L6*100),1,TRUE),"% Virus")))</f>
        <v/>
      </c>
      <c r="J15" s="491"/>
      <c r="K15" s="357"/>
      <c r="L15" s="404" t="str">
        <f>IF(AND(logCryptoR&lt;&gt;"",Calculations!F6&lt;&gt;"",OR(B17="Cl2 (free)",B17="Chloramine")),"No Crypto CT",IF((Calculations!Q6=""),"",CONCATENATE(FIXED((Calculations!Q6*100),1,TRUE),"% Crypto")))</f>
        <v/>
      </c>
      <c r="M15" s="403"/>
      <c r="N15" s="358"/>
      <c r="O15" s="250"/>
      <c r="P15" s="152">
        <v>2</v>
      </c>
      <c r="Q15" s="449"/>
      <c r="R15" s="195"/>
      <c r="S15" s="139"/>
      <c r="T15" s="137" t="s">
        <v>14</v>
      </c>
      <c r="U15" s="270"/>
      <c r="V15" s="447"/>
      <c r="W15" s="272"/>
      <c r="X15" s="273"/>
      <c r="Y15" s="272"/>
      <c r="Z15" s="272"/>
      <c r="AA15" s="272"/>
      <c r="AB15" s="272"/>
      <c r="AC15" s="272"/>
      <c r="AD15" s="272"/>
      <c r="AE15" s="272"/>
    </row>
    <row r="16" spans="2:31" x14ac:dyDescent="0.2">
      <c r="B16" s="450" t="s">
        <v>674</v>
      </c>
      <c r="C16" s="138"/>
      <c r="D16" s="401"/>
      <c r="E16" s="464"/>
      <c r="F16" s="468" t="str">
        <f>IF(Calculations!F6="","",CONCATENATE("CT=",ROUND(Calculations!F6,2)," min-mg/l"))</f>
        <v/>
      </c>
      <c r="G16" s="469"/>
      <c r="H16" s="260"/>
      <c r="I16" s="473" t="str">
        <f>IF(Calculations!E6="","",CONCATENATE("T10=  ",ROUND(Calculations!E6,2),"-min"))</f>
        <v/>
      </c>
      <c r="J16" s="474"/>
      <c r="K16" s="299"/>
      <c r="L16" s="442" t="str">
        <f>IF(AND(MicrocystinR&lt;&gt;"",Calculations!F6&lt;&gt;"",OR(B17="Chloramine",B17="Chlorine Dioxide",pH_2&gt;9)),"No Microcystin CT",IF((Calculations!V6=""),"",CONCATENATE(FIXED((Calculations!V6*100),1,TRUE),"% Microcystin")))</f>
        <v/>
      </c>
      <c r="M16" s="259"/>
      <c r="N16" s="251"/>
      <c r="O16" s="250"/>
      <c r="P16" s="463"/>
      <c r="Q16" s="519"/>
      <c r="R16" s="470"/>
      <c r="S16" s="471"/>
      <c r="T16" s="471"/>
      <c r="U16" s="471"/>
      <c r="V16" s="472"/>
      <c r="W16" s="272"/>
      <c r="X16" s="273" t="s">
        <v>34</v>
      </c>
      <c r="Y16" s="272"/>
      <c r="Z16" s="272"/>
      <c r="AA16" s="272"/>
      <c r="AB16" s="272"/>
      <c r="AC16" s="272"/>
      <c r="AD16" s="272"/>
      <c r="AE16" s="272"/>
    </row>
    <row r="17" spans="2:31" x14ac:dyDescent="0.2">
      <c r="B17" s="257" t="s">
        <v>442</v>
      </c>
      <c r="C17" s="141"/>
      <c r="D17" s="137" t="s">
        <v>1</v>
      </c>
      <c r="E17" s="464"/>
      <c r="F17" s="483" t="str">
        <f>IF(OR(AND(D16="F",C16&lt;32),AND(C16&gt;100,D16="C")),"TEMP. ERROR!",IF(AND(C16&lt;&gt;"",D16=""),"Select C or F",""))</f>
        <v/>
      </c>
      <c r="G17" s="483"/>
      <c r="H17" s="483"/>
      <c r="I17" s="484" t="str">
        <f>IF(AND(MicrocystinR&lt;&gt;"",C18&lt;&gt;"",OR(B17="Chlorine Dioxide",B17="Chloramine")),"Change the Disinfectant for Microcystin CT","")</f>
        <v/>
      </c>
      <c r="J17" s="484"/>
      <c r="K17" s="484"/>
      <c r="L17" s="484"/>
      <c r="M17" s="361" t="str">
        <f>IF(Calculations!BE6="","",Calculations!BE6)</f>
        <v/>
      </c>
      <c r="N17" s="362" t="str">
        <f>IF(M17="","","mg/l")</f>
        <v/>
      </c>
      <c r="O17" s="250"/>
      <c r="P17" s="463"/>
      <c r="Q17" s="519"/>
      <c r="R17" s="463" t="s">
        <v>471</v>
      </c>
      <c r="S17" s="464"/>
      <c r="T17" s="465"/>
      <c r="U17" s="194"/>
      <c r="V17" s="153" t="s">
        <v>544</v>
      </c>
      <c r="W17" s="272"/>
      <c r="X17" s="273" t="s">
        <v>10</v>
      </c>
      <c r="Y17" s="272"/>
      <c r="Z17" s="272"/>
      <c r="AA17" s="272"/>
      <c r="AB17" s="272"/>
      <c r="AC17" s="272"/>
      <c r="AD17" s="272"/>
      <c r="AE17" s="272"/>
    </row>
    <row r="18" spans="2:31" ht="13.5" thickBot="1" x14ac:dyDescent="0.25">
      <c r="B18" s="154" t="s">
        <v>9</v>
      </c>
      <c r="C18" s="155"/>
      <c r="D18" s="466" t="str">
        <f>IF(AND(pH_2&gt;10,B17="Cl2 (free)",logVirusR&lt;&gt;"",OR(logGiardiaR&lt;&gt;"",MicrocystinR&lt;&gt;"")),"Lower the pH for CT with Cl2",IF(AND(pH_2&gt;9,B17="Cl2 (free)",logGiardiaR&lt;&gt;"",MicrocystinR&lt;&gt;""),"Lower the pH for CT with Cl2",IF(AND(pH_2&gt;9,B17="Cl2 (free)",logGiardiaR="",MicrocystinR&lt;&gt;""),"Lower the pH for Microcystin CT with Cl2",IF(AND(pH_2&gt;9,logGiardiaR&lt;&gt;"",MicrocystinR="",B17="Cl2 (free)"),"Lower the pH for Giardia CT with Cl2",IF(AND(pH_2&gt;9,logGiardiaR&lt;&gt;"",B17="Chloramine"),"Lower the pH for Giardia CT with NH2Cl",IF(AND(pH_2&gt;10,B17="Cl2 (free)",logVirusR&lt;&gt;"",logGiardiaR="",MicrocystinR=""),"Lower the pH for Virus CT with Cl2",IF(AND(pH_2&gt;9,B17="Chlorine Dioxide",logVirusR&lt;&gt;""),"Lower the pH for Virus CT with ClO2","")))))))</f>
        <v/>
      </c>
      <c r="E18" s="467"/>
      <c r="F18" s="467"/>
      <c r="G18" s="467"/>
      <c r="H18" s="467"/>
      <c r="I18" s="467"/>
      <c r="J18" s="486" t="str">
        <f>IF(AND(logCryptoR&lt;&gt;"",C17&lt;&gt;"",OR(B17="Cl2 (free)",B17="Chloramine")),"Change Disinfectant for Crypto CT","")</f>
        <v/>
      </c>
      <c r="K18" s="486"/>
      <c r="L18" s="486"/>
      <c r="M18" s="486"/>
      <c r="N18" s="487"/>
      <c r="O18" s="250"/>
      <c r="P18" s="513"/>
      <c r="Q18" s="520"/>
      <c r="R18" s="516"/>
      <c r="S18" s="517"/>
      <c r="T18" s="517"/>
      <c r="U18" s="517"/>
      <c r="V18" s="518"/>
      <c r="W18" s="272"/>
      <c r="X18" s="273" t="s">
        <v>11</v>
      </c>
      <c r="Y18" s="272"/>
      <c r="Z18" s="272"/>
      <c r="AA18" s="272"/>
      <c r="AB18" s="272"/>
      <c r="AC18" s="272"/>
      <c r="AD18" s="272"/>
      <c r="AE18" s="272"/>
    </row>
    <row r="19" spans="2:31" ht="3.95" customHeight="1" thickBot="1" x14ac:dyDescent="0.25">
      <c r="B19" s="475"/>
      <c r="C19" s="475"/>
      <c r="D19" s="475"/>
      <c r="E19" s="475"/>
      <c r="F19" s="475"/>
      <c r="G19" s="475"/>
      <c r="H19" s="475"/>
      <c r="I19" s="475"/>
      <c r="J19" s="475"/>
      <c r="K19" s="475"/>
      <c r="L19" s="485"/>
      <c r="M19" s="475"/>
      <c r="N19" s="475"/>
      <c r="O19" s="250"/>
      <c r="P19" s="475"/>
      <c r="Q19" s="475"/>
      <c r="R19" s="462"/>
      <c r="S19" s="462"/>
      <c r="T19" s="462"/>
      <c r="U19" s="462"/>
      <c r="V19" s="462"/>
      <c r="W19" s="272"/>
      <c r="X19" s="273"/>
      <c r="Y19" s="272"/>
      <c r="Z19" s="272"/>
      <c r="AA19" s="272"/>
      <c r="AB19" s="272"/>
      <c r="AC19" s="272"/>
      <c r="AD19" s="272"/>
      <c r="AE19" s="272"/>
    </row>
    <row r="20" spans="2:31" x14ac:dyDescent="0.2">
      <c r="B20" s="492" t="str">
        <f>IF(Q20="","Segment 3",Q20)</f>
        <v>Segment 3</v>
      </c>
      <c r="C20" s="493"/>
      <c r="D20" s="493"/>
      <c r="E20" s="494"/>
      <c r="F20" s="488" t="str">
        <f>IF(AND(C23&gt;9,logGiardiaR&lt;&gt;"",Calculations!F8&lt;&gt;"",OR(B22="Cl2 (free)",B22="Chloramine")),"No Giardia CT",IF((Calculations!I8=""),"",CONCATENATE(FIXED((Calculations!I8*100),1,TRUE),"% Giardia")))</f>
        <v/>
      </c>
      <c r="G20" s="489"/>
      <c r="H20" s="137"/>
      <c r="I20" s="490" t="str">
        <f>IF(OR(AND(C13&gt;10,B12="Cl2 (free)",Calculations!F8&lt;&gt;"",logVirusR&lt;&gt;""),AND(C13&gt;9,B12="Chlorine Dioxide",Calculations!F8&lt;&gt;"",logVirusR&lt;&gt;"")),"No Virus CT",IF((Calculations!L8=""),"",CONCATENATE(FIXED((Calculations!L8*100),1,TRUE),"% Virus")))</f>
        <v/>
      </c>
      <c r="J20" s="491"/>
      <c r="K20" s="357"/>
      <c r="L20" s="404" t="str">
        <f>IF(AND(logCryptoR&lt;&gt;"",Calculations!F8&lt;&gt;"",OR(B22="Cl2 (free)",B22="Chloramine")),"No Crypto CT",IF((Calculations!Q8=""),"",CONCATENATE(FIXED((Calculations!Q8*100),1,TRUE),"% Crypto")))</f>
        <v/>
      </c>
      <c r="M20" s="403"/>
      <c r="N20" s="358"/>
      <c r="O20" s="250"/>
      <c r="P20" s="152">
        <v>3</v>
      </c>
      <c r="Q20" s="449"/>
      <c r="R20" s="195"/>
      <c r="S20" s="139"/>
      <c r="T20" s="137" t="s">
        <v>14</v>
      </c>
      <c r="U20" s="270"/>
      <c r="V20" s="447"/>
      <c r="W20" s="272"/>
      <c r="X20" s="273"/>
      <c r="Y20" s="272"/>
      <c r="Z20" s="272"/>
    </row>
    <row r="21" spans="2:31" x14ac:dyDescent="0.2">
      <c r="B21" s="450" t="s">
        <v>674</v>
      </c>
      <c r="C21" s="138"/>
      <c r="D21" s="138"/>
      <c r="E21" s="464"/>
      <c r="F21" s="468" t="str">
        <f>IF(Calculations!F8="","",CONCATENATE("CT=",ROUND(Calculations!F8,2)," min-mg/l"))</f>
        <v/>
      </c>
      <c r="G21" s="469"/>
      <c r="H21" s="260"/>
      <c r="I21" s="473" t="str">
        <f>IF(Calculations!E8="","",CONCATENATE("T10= ",ROUND(Calculations!E8,2),"-min"))</f>
        <v/>
      </c>
      <c r="J21" s="474"/>
      <c r="K21" s="299"/>
      <c r="L21" s="442" t="str">
        <f>IF(AND(MicrocystinR&lt;&gt;"",Calculations!F8&lt;&gt;"",OR(B22="Chloramine",B22="Chlorine Dioxide",pH_3&gt;9)),"No Microcystin CT",IF((Calculations!V8=""),"",CONCATENATE(FIXED((Calculations!V8*100),1,TRUE),"% Microcystin")))</f>
        <v/>
      </c>
      <c r="M21" s="259"/>
      <c r="N21" s="251"/>
      <c r="O21" s="250"/>
      <c r="P21" s="463"/>
      <c r="Q21" s="519"/>
      <c r="R21" s="470"/>
      <c r="S21" s="471"/>
      <c r="T21" s="471"/>
      <c r="U21" s="471"/>
      <c r="V21" s="472"/>
      <c r="W21" s="272"/>
      <c r="X21" s="273" t="s">
        <v>35</v>
      </c>
      <c r="Y21" s="272"/>
      <c r="Z21" s="272"/>
      <c r="AA21" s="272"/>
      <c r="AB21" s="272"/>
      <c r="AC21" s="272"/>
      <c r="AD21" s="272"/>
      <c r="AE21" s="272"/>
    </row>
    <row r="22" spans="2:31" x14ac:dyDescent="0.2">
      <c r="B22" s="257" t="s">
        <v>442</v>
      </c>
      <c r="C22" s="141"/>
      <c r="D22" s="137" t="s">
        <v>1</v>
      </c>
      <c r="E22" s="464"/>
      <c r="F22" s="483" t="str">
        <f>IF(OR(AND(D21="F",C21&lt;32),AND(C21&gt;100,D21="C")),"TEMP. ERROR!",IF(AND(C21&lt;&gt;"",D21=""),"Select C or F",""))</f>
        <v/>
      </c>
      <c r="G22" s="483"/>
      <c r="H22" s="483"/>
      <c r="I22" s="484" t="str">
        <f>IF(AND(MicrocystinR&lt;&gt;"",C23&lt;&gt;"",OR(B22="Chlorine Dioxide",B22="Chloramine")),"Change the Disinfectant for Microcystin CT","")</f>
        <v/>
      </c>
      <c r="J22" s="484"/>
      <c r="K22" s="484"/>
      <c r="L22" s="484"/>
      <c r="M22" s="361" t="str">
        <f>IF(Calculations!BE8="","",Calculations!BE8)</f>
        <v/>
      </c>
      <c r="N22" s="362" t="str">
        <f>IF(M22="","","mg/l")</f>
        <v/>
      </c>
      <c r="O22" s="250"/>
      <c r="P22" s="463"/>
      <c r="Q22" s="519"/>
      <c r="R22" s="463" t="s">
        <v>471</v>
      </c>
      <c r="S22" s="464"/>
      <c r="T22" s="465"/>
      <c r="U22" s="194"/>
      <c r="V22" s="153" t="s">
        <v>544</v>
      </c>
      <c r="W22" s="272"/>
      <c r="X22" s="273" t="s">
        <v>36</v>
      </c>
      <c r="Y22" s="272"/>
      <c r="Z22" s="272"/>
      <c r="AA22" s="272"/>
      <c r="AB22" s="272"/>
      <c r="AC22" s="272"/>
      <c r="AD22" s="272"/>
      <c r="AE22" s="272"/>
    </row>
    <row r="23" spans="2:31" ht="13.5" thickBot="1" x14ac:dyDescent="0.25">
      <c r="B23" s="154" t="s">
        <v>9</v>
      </c>
      <c r="C23" s="155"/>
      <c r="D23" s="466" t="str">
        <f>IF(AND(pH_3&gt;10,B22="Cl2 (free)",logVirusR&lt;&gt;"",OR(logGiardiaR&lt;&gt;"",MicrocystinR&lt;&gt;"")),"Lower the pH for CT with Cl2",IF(AND(pH_3&gt;9,B22="Cl2 (free)",logGiardiaR&lt;&gt;"",MicrocystinR&lt;&gt;""),"Lower the pH for CT with Cl2",IF(AND(pH_3&gt;9,B22="Cl2 (free)",logGiardiaR="",MicrocystinR&lt;&gt;""),"Lower the pH for Microcystin CT with Cl2",IF(AND(pH_3&gt;9,logGiardiaR&lt;&gt;"",MicrocystinR="",B22="Cl2 (free)"),"Lower the pH for Giardia CT with Cl2",IF(AND(pH_3&gt;9,logGiardiaR&lt;&gt;"",B22="Chloramine"),"Lower the pH for Giardia CT with NH2Cl",IF(AND(pH_3&gt;10,B22="Cl2 (free)",logVirusR&lt;&gt;"",logGiardiaR="",MicrocystinR=""),"Lower the pH for Virus CT with Cl2",IF(AND(pH_3&gt;9,B22="Chlorine Dioxide",logVirusR&lt;&gt;""),"Lower the pH for Virus CT with ClO2","")))))))</f>
        <v/>
      </c>
      <c r="E23" s="467"/>
      <c r="F23" s="467"/>
      <c r="G23" s="467"/>
      <c r="H23" s="467"/>
      <c r="I23" s="467"/>
      <c r="J23" s="486" t="str">
        <f>IF(AND(logCryptoR&lt;&gt;"",C22&lt;&gt;"",OR(B22="Cl2 (free)",B22="Chloramine")),"Change Disinfectant for Crypto CT","")</f>
        <v/>
      </c>
      <c r="K23" s="486"/>
      <c r="L23" s="486"/>
      <c r="M23" s="486"/>
      <c r="N23" s="487"/>
      <c r="O23" s="250"/>
      <c r="P23" s="513"/>
      <c r="Q23" s="520"/>
      <c r="R23" s="516"/>
      <c r="S23" s="517"/>
      <c r="T23" s="517"/>
      <c r="U23" s="517"/>
      <c r="V23" s="518"/>
      <c r="W23" s="272"/>
      <c r="X23" s="273" t="s">
        <v>37</v>
      </c>
      <c r="Y23" s="272"/>
      <c r="Z23" s="272"/>
      <c r="AA23" s="272"/>
      <c r="AB23" s="272"/>
      <c r="AC23" s="272"/>
      <c r="AD23" s="272"/>
      <c r="AE23" s="272"/>
    </row>
    <row r="24" spans="2:31" ht="3.95" customHeight="1" thickBot="1" x14ac:dyDescent="0.25">
      <c r="B24" s="475"/>
      <c r="C24" s="475"/>
      <c r="D24" s="475"/>
      <c r="E24" s="475"/>
      <c r="F24" s="475"/>
      <c r="G24" s="475"/>
      <c r="H24" s="475"/>
      <c r="I24" s="475"/>
      <c r="J24" s="475"/>
      <c r="K24" s="475"/>
      <c r="L24" s="485"/>
      <c r="M24" s="475"/>
      <c r="N24" s="475"/>
      <c r="O24" s="250"/>
      <c r="P24" s="475"/>
      <c r="Q24" s="475"/>
      <c r="R24" s="462"/>
      <c r="S24" s="462"/>
      <c r="T24" s="462"/>
      <c r="U24" s="462"/>
      <c r="V24" s="462"/>
      <c r="W24" s="272"/>
      <c r="X24" s="273" t="s">
        <v>38</v>
      </c>
      <c r="Y24" s="272"/>
      <c r="Z24" s="272"/>
      <c r="AA24" s="272"/>
      <c r="AB24" s="272"/>
      <c r="AC24" s="272"/>
      <c r="AD24" s="272"/>
      <c r="AE24" s="272"/>
    </row>
    <row r="25" spans="2:31" x14ac:dyDescent="0.2">
      <c r="B25" s="492" t="str">
        <f>IF(Q25="","Segment 4",Q25)</f>
        <v>Segment 4</v>
      </c>
      <c r="C25" s="493"/>
      <c r="D25" s="493"/>
      <c r="E25" s="494"/>
      <c r="F25" s="488" t="str">
        <f>IF(AND(C28&gt;9,logGiardiaR&lt;&gt;"",Calculations!F10&lt;&gt;"",OR(B27="Cl2 (free)",B27="Chloramine")),"No Giardia CT",IF((Calculations!I10=""),"",CONCATENATE(FIXED((Calculations!I10*100),1,TRUE),"% Giardia")))</f>
        <v/>
      </c>
      <c r="G25" s="489"/>
      <c r="H25" s="137"/>
      <c r="I25" s="490" t="str">
        <f>IF(OR(AND(C13&gt;10,B12="Cl2 (free)",Calculations!F10&lt;&gt;"",logVirusR&lt;&gt;""),AND(C13&gt;9,B12="Chlorine Dioxide",Calculations!F10&lt;&gt;"",logVirusR&lt;&gt;"")),"No Virus CT",IF((Calculations!L10=""),"",CONCATENATE(FIXED((Calculations!L10*100),1,TRUE),"% Virus")))</f>
        <v/>
      </c>
      <c r="J25" s="491"/>
      <c r="K25" s="357"/>
      <c r="L25" s="404" t="str">
        <f>IF(AND(logCryptoR&lt;&gt;"",Calculations!F10&lt;&gt;"",OR(B27="Cl2 (free)",B27="Chloramine")),"No Crypto CT",IF((Calculations!Q10=""),"",CONCATENATE(FIXED((Calculations!Q10*100),1,TRUE),"% Crypto")))</f>
        <v/>
      </c>
      <c r="M25" s="403"/>
      <c r="N25" s="358"/>
      <c r="O25" s="250"/>
      <c r="P25" s="152">
        <v>4</v>
      </c>
      <c r="Q25" s="449"/>
      <c r="R25" s="195"/>
      <c r="S25" s="139"/>
      <c r="T25" s="137" t="s">
        <v>14</v>
      </c>
      <c r="U25" s="270"/>
      <c r="V25" s="447"/>
      <c r="W25" s="272"/>
      <c r="X25" s="273" t="s">
        <v>433</v>
      </c>
      <c r="Y25" s="272"/>
      <c r="Z25" s="272"/>
      <c r="AA25" s="272"/>
      <c r="AB25" s="272"/>
      <c r="AC25" s="272"/>
      <c r="AD25" s="272"/>
      <c r="AE25" s="272"/>
    </row>
    <row r="26" spans="2:31" x14ac:dyDescent="0.2">
      <c r="B26" s="450" t="s">
        <v>674</v>
      </c>
      <c r="C26" s="138"/>
      <c r="D26" s="138"/>
      <c r="E26" s="464"/>
      <c r="F26" s="468" t="str">
        <f>IF(Calculations!F10="","",CONCATENATE("CT=",ROUND(Calculations!F10,2)," min-mg/l"))</f>
        <v/>
      </c>
      <c r="G26" s="469"/>
      <c r="H26" s="260"/>
      <c r="I26" s="473" t="str">
        <f>IF(Calculations!E10="","",CONCATENATE("T10=  ",ROUND(Calculations!E10,2),"-min"))</f>
        <v/>
      </c>
      <c r="J26" s="474"/>
      <c r="K26" s="299"/>
      <c r="L26" s="442" t="str">
        <f>IF(AND(MicrocystinR&lt;&gt;"",Calculations!F10&lt;&gt;"",OR(B27="Chloramine",B27="Chlorine Dioxide",pH_4&gt;9)),"No Microcystin CT",IF((Calculations!V10=""),"",CONCATENATE(FIXED((Calculations!V10*100),1,TRUE),"% Microcystin")))</f>
        <v/>
      </c>
      <c r="M26" s="259"/>
      <c r="N26" s="251"/>
      <c r="O26" s="250"/>
      <c r="P26" s="463"/>
      <c r="Q26" s="519"/>
      <c r="R26" s="470"/>
      <c r="S26" s="471"/>
      <c r="T26" s="471"/>
      <c r="U26" s="471"/>
      <c r="V26" s="472"/>
      <c r="W26" s="272"/>
      <c r="X26" s="273" t="s">
        <v>434</v>
      </c>
      <c r="Y26" s="272"/>
      <c r="Z26" s="272"/>
      <c r="AA26" s="272"/>
      <c r="AB26" s="272"/>
      <c r="AC26" s="272"/>
      <c r="AD26" s="272"/>
      <c r="AE26" s="272"/>
    </row>
    <row r="27" spans="2:31" x14ac:dyDescent="0.2">
      <c r="B27" s="257" t="s">
        <v>442</v>
      </c>
      <c r="C27" s="141"/>
      <c r="D27" s="137" t="s">
        <v>1</v>
      </c>
      <c r="E27" s="464"/>
      <c r="F27" s="483" t="str">
        <f>IF(OR(AND(D26="F",C26&lt;32),AND(C26&gt;100,D26="C")),"TEMP. ERROR!",IF(AND(C26&lt;&gt;"",D26=""),"Select C or F",""))</f>
        <v/>
      </c>
      <c r="G27" s="483"/>
      <c r="H27" s="483"/>
      <c r="I27" s="484" t="str">
        <f>IF(AND(MicrocystinR&lt;&gt;"",C28&lt;&gt;"",OR(B27="Chlorine Dioxide",B27="Chloramine")),"Change the Disinfectant for Microcystin CT","")</f>
        <v/>
      </c>
      <c r="J27" s="484"/>
      <c r="K27" s="484"/>
      <c r="L27" s="484"/>
      <c r="M27" s="361" t="str">
        <f>IF(Calculations!BE10="","",Calculations!BE10)</f>
        <v/>
      </c>
      <c r="N27" s="362" t="str">
        <f>IF(M27="","","mg/l")</f>
        <v/>
      </c>
      <c r="O27" s="250"/>
      <c r="P27" s="463"/>
      <c r="Q27" s="519"/>
      <c r="R27" s="463" t="s">
        <v>471</v>
      </c>
      <c r="S27" s="464"/>
      <c r="T27" s="465"/>
      <c r="U27" s="194"/>
      <c r="V27" s="153" t="s">
        <v>544</v>
      </c>
      <c r="W27" s="272"/>
      <c r="X27" s="273"/>
      <c r="Y27" s="272"/>
      <c r="Z27" s="272"/>
      <c r="AA27" s="272"/>
      <c r="AB27" s="272"/>
      <c r="AC27" s="272"/>
      <c r="AD27" s="272"/>
      <c r="AE27" s="272"/>
    </row>
    <row r="28" spans="2:31" ht="13.5" thickBot="1" x14ac:dyDescent="0.25">
      <c r="B28" s="154" t="s">
        <v>9</v>
      </c>
      <c r="C28" s="155"/>
      <c r="D28" s="466" t="str">
        <f>IF(AND(pH_4&gt;10,B27="Cl2 (free)",logVirusR&lt;&gt;"",OR(logGiardiaR&lt;&gt;"",MicrocystinR&lt;&gt;"")),"Lower the pH for CT with Cl2",IF(AND(pH_4&gt;9,B27="Cl2 (free)",logGiardiaR&lt;&gt;"",MicrocystinR&lt;&gt;""),"Lower the pH for CT with Cl2",IF(AND(pH_4&gt;9,B27="Cl2 (free)",logGiardiaR="",MicrocystinR&lt;&gt;""),"Lower the pH for Microcystin CT with Cl2",IF(AND(pH_4&gt;9,logGiardiaR&lt;&gt;"",MicrocystinR="",B27="Cl2 (free)"),"Lower the pH for Giardia CT with Cl2",IF(AND(pH_4&gt;9,logGiardiaR&lt;&gt;"",B27="Chloramine"),"Lower the pH for Giardia CT with NH2Cl",IF(AND(pH_4&gt;10,B27="Cl2 (free)",logVirusR&lt;&gt;"",logGiardiaR="",MicrocystinR=""),"Lower the pH for Virus CT with Cl2",IF(AND(pH_4&gt;9,B27="Chlorine Dioxide",logVirusR&lt;&gt;""),"Lower the pH for Virus CT with ClO2","")))))))</f>
        <v/>
      </c>
      <c r="E28" s="467"/>
      <c r="F28" s="467"/>
      <c r="G28" s="467"/>
      <c r="H28" s="467"/>
      <c r="I28" s="467"/>
      <c r="J28" s="486" t="str">
        <f>IF(AND(logCryptoR&lt;&gt;"",C27&lt;&gt;"",OR(B27="Cl2 (free)",B27="Chloramine")),"Change Disinfectant for Crypto CT","")</f>
        <v/>
      </c>
      <c r="K28" s="486"/>
      <c r="L28" s="486"/>
      <c r="M28" s="486"/>
      <c r="N28" s="487"/>
      <c r="O28" s="250"/>
      <c r="P28" s="513"/>
      <c r="Q28" s="520"/>
      <c r="R28" s="516"/>
      <c r="S28" s="517"/>
      <c r="T28" s="517"/>
      <c r="U28" s="517"/>
      <c r="V28" s="518"/>
      <c r="W28" s="272"/>
      <c r="X28" s="273"/>
      <c r="Y28" s="272"/>
      <c r="Z28" s="272"/>
      <c r="AA28" s="272"/>
      <c r="AB28" s="272"/>
      <c r="AC28" s="272"/>
      <c r="AD28" s="272"/>
      <c r="AE28" s="272"/>
    </row>
    <row r="29" spans="2:31" ht="3.95" customHeight="1" thickBot="1" x14ac:dyDescent="0.25">
      <c r="B29" s="475"/>
      <c r="C29" s="475"/>
      <c r="D29" s="475"/>
      <c r="E29" s="475"/>
      <c r="F29" s="475"/>
      <c r="G29" s="475"/>
      <c r="H29" s="475"/>
      <c r="I29" s="475"/>
      <c r="J29" s="475"/>
      <c r="K29" s="475"/>
      <c r="L29" s="485"/>
      <c r="M29" s="475"/>
      <c r="N29" s="475"/>
      <c r="O29" s="250"/>
      <c r="P29" s="485"/>
      <c r="Q29" s="485"/>
      <c r="R29" s="556" t="s">
        <v>545</v>
      </c>
      <c r="S29" s="556"/>
      <c r="T29" s="556"/>
      <c r="U29" s="556"/>
      <c r="V29" s="556"/>
      <c r="W29" s="272"/>
      <c r="X29" s="273"/>
      <c r="Y29" s="272"/>
      <c r="Z29" s="272"/>
      <c r="AA29" s="272"/>
      <c r="AB29" s="272"/>
      <c r="AC29" s="272"/>
      <c r="AD29" s="272"/>
      <c r="AE29" s="272"/>
    </row>
    <row r="30" spans="2:31" x14ac:dyDescent="0.2">
      <c r="B30" s="492" t="str">
        <f>IF(Q30="","Segment 5",Q30)</f>
        <v>Pipeline</v>
      </c>
      <c r="C30" s="493"/>
      <c r="D30" s="493"/>
      <c r="E30" s="494"/>
      <c r="F30" s="488" t="str">
        <f>IF(AND(C34&gt;9,logGiardiaR&lt;&gt;"",Calculations!F12&lt;&gt;"",OR(B33="Cl2 (free)",B33="Chloramine")),"No Giardia CT",IF((Calculations!I12=""),"",CONCATENATE(FIXED((Calculations!I12*100),1,TRUE),"% Giardia")))</f>
        <v/>
      </c>
      <c r="G30" s="489"/>
      <c r="H30" s="137"/>
      <c r="I30" s="490" t="str">
        <f>IF(OR(AND(C13&gt;10,B12="Cl2 (free)",Calculations!F12&lt;&gt;"",logVirusR&lt;&gt;""),AND(C13&gt;9,B12="Chlorine Dioxide",Calculations!F12&lt;&gt;"",logVirusR&lt;&gt;"")),"No Virus CT",IF((Calculations!L12=""),"",CONCATENATE(FIXED((Calculations!L12*100),1,TRUE),"% Virus")))</f>
        <v/>
      </c>
      <c r="J30" s="491"/>
      <c r="K30" s="357"/>
      <c r="L30" s="404" t="str">
        <f>IF(AND(logCryptoR&lt;&gt;"",Calculations!F12&lt;&gt;"",OR(B33="Cl2 (free)",B33="Chloramine")),"No Crypto CT",IF((Calculations!Q12=""),"",CONCATENATE(FIXED((Calculations!Q12*100),1,TRUE),"% Crypto")))</f>
        <v/>
      </c>
      <c r="M30" s="402"/>
      <c r="N30" s="360"/>
      <c r="O30" s="250"/>
      <c r="P30" s="156">
        <v>5</v>
      </c>
      <c r="Q30" s="445" t="s">
        <v>534</v>
      </c>
      <c r="R30" s="269"/>
      <c r="S30" s="384" t="s">
        <v>545</v>
      </c>
      <c r="T30" s="151"/>
      <c r="U30" s="151"/>
      <c r="V30" s="264"/>
      <c r="W30" s="272"/>
      <c r="X30" s="273" t="s">
        <v>481</v>
      </c>
      <c r="Y30" s="272"/>
      <c r="Z30" s="272"/>
      <c r="AA30" s="272"/>
      <c r="AB30" s="272"/>
      <c r="AC30" s="272"/>
      <c r="AD30" s="272"/>
      <c r="AE30" s="272"/>
    </row>
    <row r="31" spans="2:31" x14ac:dyDescent="0.2">
      <c r="B31" s="254" t="s">
        <v>535</v>
      </c>
      <c r="C31" s="258"/>
      <c r="D31" s="255"/>
      <c r="E31" s="250"/>
      <c r="F31" s="468" t="str">
        <f>IF(Calculations!F12="","",CONCATENATE("CT=",ROUND(Calculations!F12,2)," min-mg/l"))</f>
        <v/>
      </c>
      <c r="G31" s="469"/>
      <c r="H31" s="260"/>
      <c r="I31" s="473" t="str">
        <f>IF(Calculations!E12="","",CONCATENATE("T10=  ",ROUND(Calculations!E12,2),"-min"))</f>
        <v/>
      </c>
      <c r="J31" s="474"/>
      <c r="K31" s="299"/>
      <c r="L31" s="442" t="str">
        <f>IF(AND(MicrocystinR&lt;&gt;"",Calculations!F12&lt;&gt;"",OR(B32="Chloramine",B32="Chlorine Dioxide",pH_5&gt;9)),"No Microcystin CT",IF((Calculations!V12=""),"",CONCATENATE(FIXED((Calculations!V12*100),1,TRUE),"% Microcystin")))</f>
        <v/>
      </c>
      <c r="M31" s="559" t="str">
        <f>IF(Calculations!F18="","",IF(Calculations!F18&lt;0,"0 ft",CONCATENATE(ROUND(Calculations!F18,1)," ft")))</f>
        <v/>
      </c>
      <c r="N31" s="560"/>
      <c r="O31" s="250"/>
      <c r="P31" s="152"/>
      <c r="Q31" s="413"/>
      <c r="R31" s="302"/>
      <c r="S31" s="138"/>
      <c r="T31" s="137" t="str">
        <f>IF(S30="Diameter","in.",IF(S30="Volume","gal",IF(S30="Volume / ft","gal/ft","")))</f>
        <v>in.</v>
      </c>
      <c r="U31" s="383"/>
      <c r="V31" s="448"/>
      <c r="W31" s="272"/>
      <c r="X31" s="273"/>
      <c r="Y31" s="272"/>
      <c r="Z31" s="272"/>
      <c r="AA31" s="272"/>
      <c r="AB31" s="272"/>
      <c r="AC31" s="272"/>
      <c r="AD31" s="272"/>
      <c r="AE31" s="272"/>
    </row>
    <row r="32" spans="2:31" x14ac:dyDescent="0.2">
      <c r="B32" s="450" t="s">
        <v>674</v>
      </c>
      <c r="C32" s="138"/>
      <c r="D32" s="142"/>
      <c r="F32" s="483" t="str">
        <f>IF(OR(AND(D32="F",C32&lt;32),AND(C32&gt;100,D32="C")),"TEMP. ERROR!",IF(AND(C32&lt;&gt;"",D32=""),"Select C or F",""))</f>
        <v/>
      </c>
      <c r="G32" s="483"/>
      <c r="H32" s="483"/>
      <c r="I32" s="484" t="str">
        <f>IF(AND(MicrocystinR&lt;&gt;"",C33&lt;&gt;"",OR(B32="Chlorine Dioxide",B32="Chloramine")),"Change the Disinfectant for Microcystin CT","")</f>
        <v/>
      </c>
      <c r="J32" s="484"/>
      <c r="K32" s="484"/>
      <c r="L32" s="484"/>
      <c r="M32" s="549" t="str">
        <f>IF(AND(M31&lt;&gt;"",M33&lt;&gt;""),"or","")</f>
        <v/>
      </c>
      <c r="N32" s="550"/>
      <c r="O32" s="250"/>
      <c r="P32" s="463"/>
      <c r="Q32" s="519"/>
      <c r="R32" s="510"/>
      <c r="S32" s="511"/>
      <c r="T32" s="511"/>
      <c r="U32" s="511"/>
      <c r="V32" s="512"/>
      <c r="W32" s="272"/>
      <c r="X32" s="273" t="s">
        <v>442</v>
      </c>
      <c r="Y32" s="272"/>
      <c r="Z32" s="272"/>
      <c r="AA32" s="272"/>
      <c r="AB32" s="272"/>
      <c r="AC32" s="272"/>
      <c r="AD32" s="272"/>
      <c r="AE32" s="272"/>
    </row>
    <row r="33" spans="2:31" x14ac:dyDescent="0.2">
      <c r="B33" s="257" t="s">
        <v>442</v>
      </c>
      <c r="C33" s="141"/>
      <c r="D33" s="137" t="s">
        <v>1</v>
      </c>
      <c r="E33" s="533"/>
      <c r="F33" s="533"/>
      <c r="G33" s="533"/>
      <c r="H33" s="533"/>
      <c r="I33" s="533"/>
      <c r="J33" s="533"/>
      <c r="K33" s="300"/>
      <c r="L33" s="300"/>
      <c r="M33" s="361" t="str">
        <f>IF(Calculations!BE12="","",Calculations!BE12)</f>
        <v/>
      </c>
      <c r="N33" s="362" t="str">
        <f>IF(M33="","","mg/l")</f>
        <v/>
      </c>
      <c r="O33" s="250"/>
      <c r="P33" s="463"/>
      <c r="Q33" s="519"/>
      <c r="R33" s="463" t="s">
        <v>471</v>
      </c>
      <c r="S33" s="464"/>
      <c r="T33" s="465"/>
      <c r="U33" s="297"/>
      <c r="V33" s="251" t="s">
        <v>543</v>
      </c>
      <c r="W33" s="272"/>
      <c r="X33" s="273" t="s">
        <v>482</v>
      </c>
      <c r="Y33" s="272"/>
      <c r="Z33" s="272"/>
      <c r="AA33" s="272"/>
      <c r="AB33" s="272"/>
      <c r="AC33" s="272"/>
      <c r="AD33" s="272"/>
      <c r="AE33" s="272"/>
    </row>
    <row r="34" spans="2:31" ht="13.5" thickBot="1" x14ac:dyDescent="0.25">
      <c r="B34" s="154" t="s">
        <v>9</v>
      </c>
      <c r="C34" s="155"/>
      <c r="D34" s="466" t="str">
        <f>IF(AND(pH_5&gt;10,B33="Cl2 (free)",logVirusR&lt;&gt;"",OR(logGiardiaR&lt;&gt;"",MicrocystinR&lt;&gt;"")),"Lower the pH for CT with Cl2",IF(AND(pH_5&gt;9,B33="Cl2 (free)",logGiardiaR&lt;&gt;"",MicrocystinR&lt;&gt;""),"Lower the pH for CT with Cl2",IF(AND(pH_5&gt;9,B33="Cl2 (free)",logGiardiaR="",MicrocystinR&lt;&gt;""),"Lower the pH for Microcystin CT with Cl2",IF(AND(pH_5&gt;9,logGiardiaR&lt;&gt;"",MicrocystinR="",B33="Cl2 (free)"),"Lower the pH for Giardia CT with Cl2",IF(AND(pH_5&gt;9,logGiardiaR&lt;&gt;"",B33="Chloramine"),"Lower the pH for Giardia CT with NH2Cl",IF(AND(pH_5&gt;10,B33="Cl2 (free)",logVirusR&lt;&gt;"",logGiardiaR="",MicrocystinR=""),"Lower the pH for Virus CT with Cl2",IF(AND(pH_5&gt;9,B33="Chlorine Dioxide",logVirusR&lt;&gt;""),"Lower the pH for Virus CT with ClO2","")))))))</f>
        <v/>
      </c>
      <c r="E34" s="467"/>
      <c r="F34" s="467"/>
      <c r="G34" s="467"/>
      <c r="H34" s="467"/>
      <c r="I34" s="467"/>
      <c r="J34" s="486" t="str">
        <f>IF(AND(logCryptoR&lt;&gt;"",C33&lt;&gt;"",OR(B33="Cl2 (free)",B33="Chloramine")),"Change Disinfectant for Crypto CT","")</f>
        <v/>
      </c>
      <c r="K34" s="486"/>
      <c r="L34" s="486"/>
      <c r="M34" s="486"/>
      <c r="N34" s="487"/>
      <c r="O34" s="250"/>
      <c r="P34" s="513"/>
      <c r="Q34" s="520"/>
      <c r="R34" s="265"/>
      <c r="S34" s="253"/>
      <c r="T34" s="266"/>
      <c r="U34" s="267"/>
      <c r="V34" s="268" t="s">
        <v>544</v>
      </c>
      <c r="W34" s="272"/>
      <c r="X34" s="273" t="s">
        <v>483</v>
      </c>
      <c r="Y34" s="272"/>
      <c r="Z34" s="272"/>
      <c r="AA34" s="272"/>
      <c r="AB34" s="272"/>
      <c r="AC34" s="272"/>
      <c r="AD34" s="272"/>
      <c r="AE34" s="272"/>
    </row>
    <row r="35" spans="2:31" ht="3.95" customHeight="1" thickBot="1" x14ac:dyDescent="0.25">
      <c r="B35" s="485"/>
      <c r="C35" s="485"/>
      <c r="D35" s="485"/>
      <c r="E35" s="485"/>
      <c r="F35" s="485"/>
      <c r="G35" s="485"/>
      <c r="H35" s="485"/>
      <c r="I35" s="485"/>
      <c r="J35" s="485"/>
      <c r="K35" s="485"/>
      <c r="L35" s="485"/>
      <c r="M35" s="485"/>
      <c r="N35" s="485"/>
      <c r="O35" s="250"/>
      <c r="P35" s="485"/>
      <c r="Q35" s="485"/>
      <c r="R35" s="485"/>
      <c r="S35" s="485"/>
      <c r="T35" s="485"/>
      <c r="U35" s="485"/>
      <c r="V35" s="485"/>
      <c r="W35" s="272"/>
      <c r="X35" s="273" t="s">
        <v>484</v>
      </c>
      <c r="Y35" s="272"/>
      <c r="Z35" s="272"/>
      <c r="AA35" s="272"/>
      <c r="AB35" s="272"/>
      <c r="AC35" s="272"/>
      <c r="AD35" s="272"/>
      <c r="AE35" s="272"/>
    </row>
    <row r="36" spans="2:31" ht="13.5" thickBot="1" x14ac:dyDescent="0.25">
      <c r="B36" s="356" t="s">
        <v>616</v>
      </c>
      <c r="C36" s="554" t="str">
        <f>IF(E36="","","Giardia")</f>
        <v/>
      </c>
      <c r="D36" s="555"/>
      <c r="E36" s="495" t="str">
        <f>Calculations!I14</f>
        <v/>
      </c>
      <c r="F36" s="496"/>
      <c r="G36" s="480" t="str">
        <f>Calculations!I15</f>
        <v/>
      </c>
      <c r="H36" s="481"/>
      <c r="I36" s="551" t="str">
        <f>IF(E36="","",IF(E36&gt;=99.5%,"Giardia CT Compliance Met","Non-Compliance for Giardia"))</f>
        <v/>
      </c>
      <c r="J36" s="551"/>
      <c r="K36" s="551"/>
      <c r="L36" s="551"/>
      <c r="M36" s="551"/>
      <c r="N36" s="551"/>
      <c r="O36" s="551"/>
      <c r="P36" s="526"/>
      <c r="Q36" s="526"/>
      <c r="R36" s="526"/>
      <c r="S36" s="526"/>
      <c r="T36" s="526"/>
      <c r="U36" s="526"/>
      <c r="V36" s="526"/>
      <c r="W36" s="272"/>
      <c r="Y36" s="272"/>
      <c r="Z36" s="272"/>
      <c r="AA36" s="272"/>
      <c r="AB36" s="272"/>
      <c r="AC36" s="272"/>
      <c r="AD36" s="272"/>
      <c r="AE36" s="272"/>
    </row>
    <row r="37" spans="2:31" ht="13.5" thickBot="1" x14ac:dyDescent="0.25">
      <c r="B37" s="356" t="s">
        <v>431</v>
      </c>
      <c r="C37" s="497" t="str">
        <f>IF(E37="","","Virus")</f>
        <v/>
      </c>
      <c r="D37" s="498"/>
      <c r="E37" s="499" t="str">
        <f>Calculations!L14</f>
        <v/>
      </c>
      <c r="F37" s="500"/>
      <c r="G37" s="480" t="str">
        <f>Calculations!L15</f>
        <v/>
      </c>
      <c r="H37" s="481"/>
      <c r="I37" s="482" t="str">
        <f>IF(E37="","",IF(E37&gt;=100%,"Virus CT Compliance Met","Non-Compliance for Virus"))</f>
        <v/>
      </c>
      <c r="J37" s="482"/>
      <c r="K37" s="482"/>
      <c r="L37" s="482"/>
      <c r="M37" s="482"/>
      <c r="N37" s="482"/>
      <c r="O37" s="482"/>
      <c r="P37" s="526"/>
      <c r="Q37" s="526"/>
      <c r="R37" s="526"/>
      <c r="S37" s="526"/>
      <c r="T37" s="526"/>
      <c r="U37" s="526"/>
      <c r="V37" s="526"/>
      <c r="W37" s="272"/>
      <c r="X37" s="208" t="s">
        <v>569</v>
      </c>
      <c r="Y37" s="272"/>
      <c r="Z37" s="272"/>
      <c r="AA37" s="272"/>
      <c r="AB37" s="272"/>
      <c r="AC37" s="272"/>
      <c r="AD37" s="272"/>
      <c r="AE37" s="272"/>
    </row>
    <row r="38" spans="2:31" ht="13.5" thickBot="1" x14ac:dyDescent="0.25">
      <c r="B38" s="436">
        <f>IF(AND(OR(B12="Cl2 (free)",B12="Chloramine"),OR(B17="Cl2 (free)",B17="Chloramine"),OR(B22="Cl2 (free)",B22="Chloramine"),OR(B27="Cl2 (free)",B27="Chloramine"),OR(B33="Cl2 (free)",B33="Chloramine")),1,2)</f>
        <v>1</v>
      </c>
      <c r="C38" s="552" t="str">
        <f>IF(E38="","","Crypto")</f>
        <v/>
      </c>
      <c r="D38" s="553"/>
      <c r="E38" s="557" t="str">
        <f>Calculations!Q14</f>
        <v/>
      </c>
      <c r="F38" s="558"/>
      <c r="G38" s="480" t="str">
        <f>Calculations!Q15</f>
        <v/>
      </c>
      <c r="H38" s="481"/>
      <c r="I38" s="482" t="str">
        <f>IF(E38="","",IF(E38&gt;=100%,"Cryptosporidium CT Compliance Met","Non-Compliance for Cryptosporidium"))</f>
        <v/>
      </c>
      <c r="J38" s="482"/>
      <c r="K38" s="482"/>
      <c r="L38" s="482"/>
      <c r="M38" s="482"/>
      <c r="N38" s="482"/>
      <c r="O38" s="482"/>
      <c r="P38" s="526"/>
      <c r="Q38" s="526"/>
      <c r="R38" s="526"/>
      <c r="S38" s="526"/>
      <c r="T38" s="526"/>
      <c r="U38" s="526"/>
      <c r="V38" s="526"/>
      <c r="W38" s="272"/>
      <c r="X38" s="208" t="s">
        <v>545</v>
      </c>
      <c r="Y38" s="272"/>
      <c r="Z38" s="272"/>
      <c r="AA38" s="272"/>
      <c r="AB38" s="272"/>
      <c r="AC38" s="272"/>
      <c r="AD38" s="272"/>
      <c r="AE38" s="272"/>
    </row>
    <row r="39" spans="2:31" ht="13.5" thickBot="1" x14ac:dyDescent="0.25">
      <c r="B39" s="436">
        <f>IF(AND(OR(B12="Chlorine Dioxide",B12="Chloramine"),OR(B17="Chlorine Dioxide",B17="Chloramine"),OR(B22="Chlorine Dioxide",B22="Chloramine"),OR(B27="Chlorine Dioxide",B27="Chloramine"),OR(B33="Chlorine Dioxide",B33="Chloramine")),1,2)</f>
        <v>2</v>
      </c>
      <c r="C39" s="476" t="str">
        <f>IF(E39="","","Microcystin")</f>
        <v/>
      </c>
      <c r="D39" s="477"/>
      <c r="E39" s="478" t="str">
        <f>Calculations!V14</f>
        <v/>
      </c>
      <c r="F39" s="479"/>
      <c r="G39" s="480" t="str">
        <f>Calculations!V15</f>
        <v/>
      </c>
      <c r="H39" s="481"/>
      <c r="I39" s="482" t="str">
        <f>IF(E39="","",IF(E39&gt;=100%,"Target Microcystin CT Achieved","Microcystin CT not Met"))</f>
        <v/>
      </c>
      <c r="J39" s="482"/>
      <c r="K39" s="482"/>
      <c r="L39" s="482"/>
      <c r="M39" s="482"/>
      <c r="N39" s="482"/>
      <c r="O39" s="482"/>
      <c r="W39" s="272"/>
      <c r="X39" s="451" t="s">
        <v>13</v>
      </c>
      <c r="Y39" s="272"/>
      <c r="Z39" s="272"/>
      <c r="AA39" s="272"/>
      <c r="AB39" s="272"/>
      <c r="AC39" s="272"/>
      <c r="AD39" s="272"/>
      <c r="AE39" s="272"/>
    </row>
    <row r="40" spans="2:31" x14ac:dyDescent="0.2">
      <c r="W40" s="272"/>
      <c r="X40" s="208" t="s">
        <v>570</v>
      </c>
      <c r="Y40" s="272"/>
      <c r="Z40" s="272"/>
      <c r="AA40" s="272"/>
      <c r="AB40" s="272"/>
      <c r="AC40" s="272"/>
      <c r="AD40" s="272"/>
      <c r="AE40" s="272"/>
    </row>
  </sheetData>
  <sheetProtection password="C74B" sheet="1" objects="1" scenarios="1" selectLockedCells="1"/>
  <mergeCells count="125">
    <mergeCell ref="R32:V32"/>
    <mergeCell ref="P32:Q34"/>
    <mergeCell ref="F31:G31"/>
    <mergeCell ref="M32:N32"/>
    <mergeCell ref="M31:N31"/>
    <mergeCell ref="F32:H32"/>
    <mergeCell ref="R33:T33"/>
    <mergeCell ref="P29:Q29"/>
    <mergeCell ref="P26:Q28"/>
    <mergeCell ref="F27:H27"/>
    <mergeCell ref="I27:L27"/>
    <mergeCell ref="B30:E30"/>
    <mergeCell ref="P35:V38"/>
    <mergeCell ref="I36:O36"/>
    <mergeCell ref="C38:D38"/>
    <mergeCell ref="G37:H37"/>
    <mergeCell ref="B35:N35"/>
    <mergeCell ref="C36:D36"/>
    <mergeCell ref="F26:G26"/>
    <mergeCell ref="I26:J26"/>
    <mergeCell ref="B29:N29"/>
    <mergeCell ref="E26:E27"/>
    <mergeCell ref="R29:V29"/>
    <mergeCell ref="R26:V26"/>
    <mergeCell ref="R28:V28"/>
    <mergeCell ref="R27:T27"/>
    <mergeCell ref="E38:F38"/>
    <mergeCell ref="G38:H38"/>
    <mergeCell ref="I38:O38"/>
    <mergeCell ref="I37:O37"/>
    <mergeCell ref="I9:J9"/>
    <mergeCell ref="I15:J15"/>
    <mergeCell ref="I20:J20"/>
    <mergeCell ref="F10:G10"/>
    <mergeCell ref="I10:J10"/>
    <mergeCell ref="M10:N10"/>
    <mergeCell ref="M11:N11"/>
    <mergeCell ref="J13:N13"/>
    <mergeCell ref="J18:N18"/>
    <mergeCell ref="D13:I13"/>
    <mergeCell ref="I11:L11"/>
    <mergeCell ref="P11:Q13"/>
    <mergeCell ref="B24:N24"/>
    <mergeCell ref="F25:G25"/>
    <mergeCell ref="I25:J25"/>
    <mergeCell ref="N1:S1"/>
    <mergeCell ref="U1:V1"/>
    <mergeCell ref="B7:D7"/>
    <mergeCell ref="V7:V9"/>
    <mergeCell ref="U7:U9"/>
    <mergeCell ref="L7:O7"/>
    <mergeCell ref="J2:P2"/>
    <mergeCell ref="P7:T7"/>
    <mergeCell ref="Q4:R4"/>
    <mergeCell ref="F3:K4"/>
    <mergeCell ref="B4:D4"/>
    <mergeCell ref="B9:E9"/>
    <mergeCell ref="L5:O5"/>
    <mergeCell ref="D1:J1"/>
    <mergeCell ref="F5:K6"/>
    <mergeCell ref="L6:O6"/>
    <mergeCell ref="T5:V5"/>
    <mergeCell ref="Q5:R5"/>
    <mergeCell ref="F9:G9"/>
    <mergeCell ref="F15:G15"/>
    <mergeCell ref="P9:Q9"/>
    <mergeCell ref="T6:V6"/>
    <mergeCell ref="Q6:R6"/>
    <mergeCell ref="Q3:R3"/>
    <mergeCell ref="E7:J7"/>
    <mergeCell ref="R11:V11"/>
    <mergeCell ref="R13:T13"/>
    <mergeCell ref="P19:Q19"/>
    <mergeCell ref="R23:V23"/>
    <mergeCell ref="R18:V18"/>
    <mergeCell ref="J23:N23"/>
    <mergeCell ref="B19:N19"/>
    <mergeCell ref="B20:E20"/>
    <mergeCell ref="F22:H22"/>
    <mergeCell ref="I22:L22"/>
    <mergeCell ref="I21:J21"/>
    <mergeCell ref="R16:V16"/>
    <mergeCell ref="R17:T17"/>
    <mergeCell ref="R12:T12"/>
    <mergeCell ref="P14:Q14"/>
    <mergeCell ref="P16:Q18"/>
    <mergeCell ref="R14:V14"/>
    <mergeCell ref="B15:E15"/>
    <mergeCell ref="E12:J12"/>
    <mergeCell ref="C39:D39"/>
    <mergeCell ref="E39:F39"/>
    <mergeCell ref="G39:H39"/>
    <mergeCell ref="I39:O39"/>
    <mergeCell ref="F11:H11"/>
    <mergeCell ref="F17:H17"/>
    <mergeCell ref="I17:L17"/>
    <mergeCell ref="B14:N14"/>
    <mergeCell ref="J34:N34"/>
    <mergeCell ref="F30:G30"/>
    <mergeCell ref="I30:J30"/>
    <mergeCell ref="B25:E25"/>
    <mergeCell ref="J28:N28"/>
    <mergeCell ref="G36:H36"/>
    <mergeCell ref="E36:F36"/>
    <mergeCell ref="C37:D37"/>
    <mergeCell ref="E37:F37"/>
    <mergeCell ref="E21:E22"/>
    <mergeCell ref="F20:G20"/>
    <mergeCell ref="I32:L32"/>
    <mergeCell ref="E33:J33"/>
    <mergeCell ref="I31:J31"/>
    <mergeCell ref="D34:I34"/>
    <mergeCell ref="R24:V24"/>
    <mergeCell ref="R22:T22"/>
    <mergeCell ref="R19:V19"/>
    <mergeCell ref="D18:I18"/>
    <mergeCell ref="D23:I23"/>
    <mergeCell ref="D28:I28"/>
    <mergeCell ref="F21:G21"/>
    <mergeCell ref="R21:V21"/>
    <mergeCell ref="F16:G16"/>
    <mergeCell ref="I16:J16"/>
    <mergeCell ref="E16:E17"/>
    <mergeCell ref="P24:Q24"/>
    <mergeCell ref="P21:Q23"/>
  </mergeCells>
  <phoneticPr fontId="0" type="noConversion"/>
  <conditionalFormatting sqref="E36">
    <cfRule type="cellIs" dxfId="27" priority="10" stopIfTrue="1" operator="greaterThanOrEqual">
      <formula>0.995</formula>
    </cfRule>
    <cfRule type="cellIs" dxfId="26" priority="11" stopIfTrue="1" operator="lessThan">
      <formula>0.995</formula>
    </cfRule>
  </conditionalFormatting>
  <conditionalFormatting sqref="E37">
    <cfRule type="cellIs" dxfId="25" priority="12" stopIfTrue="1" operator="greaterThanOrEqual">
      <formula>0.995</formula>
    </cfRule>
    <cfRule type="cellIs" dxfId="24" priority="13" stopIfTrue="1" operator="lessThan">
      <formula>0.995</formula>
    </cfRule>
  </conditionalFormatting>
  <conditionalFormatting sqref="I37:O37">
    <cfRule type="expression" dxfId="23" priority="14" stopIfTrue="1">
      <formula>$E$37&gt;=0.995</formula>
    </cfRule>
    <cfRule type="expression" dxfId="22" priority="15" stopIfTrue="1">
      <formula>$E$37&gt;0.995</formula>
    </cfRule>
  </conditionalFormatting>
  <conditionalFormatting sqref="I36:O36">
    <cfRule type="expression" dxfId="21" priority="16" stopIfTrue="1">
      <formula>$E$36&gt;=0.995</formula>
    </cfRule>
    <cfRule type="expression" dxfId="20" priority="17" stopIfTrue="1">
      <formula>$E$36&lt;0.995</formula>
    </cfRule>
  </conditionalFormatting>
  <conditionalFormatting sqref="Q1:S2 N1:P1 Q6">
    <cfRule type="cellIs" dxfId="19" priority="18" stopIfTrue="1" operator="equal">
      <formula>$F$2</formula>
    </cfRule>
  </conditionalFormatting>
  <conditionalFormatting sqref="S30">
    <cfRule type="cellIs" dxfId="18" priority="19" stopIfTrue="1" operator="equal">
      <formula>""</formula>
    </cfRule>
  </conditionalFormatting>
  <conditionalFormatting sqref="R11:V11">
    <cfRule type="expression" dxfId="17" priority="20" stopIfTrue="1">
      <formula>AND($U$12&lt;&gt;"",$S$10&lt;&gt;"")</formula>
    </cfRule>
    <cfRule type="expression" dxfId="16" priority="21" stopIfTrue="1">
      <formula>AND($U$13&lt;&gt;"",$S$10&lt;&gt;"")</formula>
    </cfRule>
    <cfRule type="expression" dxfId="15" priority="22" stopIfTrue="1">
      <formula>AND($U$13&lt;&gt;"",$U$12&lt;&gt;"")</formula>
    </cfRule>
  </conditionalFormatting>
  <conditionalFormatting sqref="R32:V32">
    <cfRule type="expression" dxfId="14" priority="23" stopIfTrue="1">
      <formula>AND($U$33&lt;&gt;"",$S$31&lt;&gt;"")</formula>
    </cfRule>
    <cfRule type="expression" dxfId="13" priority="24" stopIfTrue="1">
      <formula>AND($U$34&lt;&gt;"",$S$31&lt;&gt;"")</formula>
    </cfRule>
    <cfRule type="expression" dxfId="12" priority="25" stopIfTrue="1">
      <formula>AND($U$34&lt;&gt;"",$U$33&lt;&gt;"")</formula>
    </cfRule>
  </conditionalFormatting>
  <conditionalFormatting sqref="E38:F39">
    <cfRule type="cellIs" dxfId="11" priority="27" stopIfTrue="1" operator="lessThan">
      <formula>0.995</formula>
    </cfRule>
  </conditionalFormatting>
  <conditionalFormatting sqref="U1:V1">
    <cfRule type="cellIs" dxfId="10" priority="30" stopIfTrue="1" operator="equal">
      <formula>$J$2</formula>
    </cfRule>
  </conditionalFormatting>
  <conditionalFormatting sqref="F5:K6">
    <cfRule type="cellIs" dxfId="9" priority="31" stopIfTrue="1" operator="notEqual">
      <formula>""</formula>
    </cfRule>
  </conditionalFormatting>
  <conditionalFormatting sqref="I38:O38">
    <cfRule type="expression" dxfId="8" priority="28" stopIfTrue="1">
      <formula>$E$38&gt;=0.995</formula>
    </cfRule>
    <cfRule type="expression" dxfId="7" priority="29" stopIfTrue="1">
      <formula>$E$38&lt;0.995</formula>
    </cfRule>
  </conditionalFormatting>
  <conditionalFormatting sqref="F3:K4">
    <cfRule type="cellIs" dxfId="6" priority="8" stopIfTrue="1" operator="notEqual">
      <formula>""</formula>
    </cfRule>
  </conditionalFormatting>
  <conditionalFormatting sqref="I39:O39">
    <cfRule type="expression" dxfId="5" priority="7" stopIfTrue="1">
      <formula>$E$39&gt;=0.995</formula>
    </cfRule>
  </conditionalFormatting>
  <conditionalFormatting sqref="M22">
    <cfRule type="expression" dxfId="4" priority="5" stopIfTrue="1">
      <formula>$M$22&gt;99.99</formula>
    </cfRule>
  </conditionalFormatting>
  <conditionalFormatting sqref="M17">
    <cfRule type="expression" dxfId="3" priority="4" stopIfTrue="1">
      <formula>$M$17&gt;99.99</formula>
    </cfRule>
  </conditionalFormatting>
  <conditionalFormatting sqref="M12">
    <cfRule type="expression" dxfId="2" priority="3" stopIfTrue="1">
      <formula>$M$12&gt;99.99</formula>
    </cfRule>
  </conditionalFormatting>
  <conditionalFormatting sqref="M27">
    <cfRule type="expression" dxfId="1" priority="2" stopIfTrue="1">
      <formula>$M$27&gt;99.99</formula>
    </cfRule>
  </conditionalFormatting>
  <conditionalFormatting sqref="M33">
    <cfRule type="expression" dxfId="0" priority="1" stopIfTrue="1">
      <formula>$M$33&gt;99.99</formula>
    </cfRule>
  </conditionalFormatting>
  <dataValidations xWindow="731" yWindow="229" count="15">
    <dataValidation type="decimal" allowBlank="1" showErrorMessage="1" error="Value must be greater than Zero and less than or equal to 4.0" sqref="S4">
      <formula1>1E-28</formula1>
      <formula2>4</formula2>
    </dataValidation>
    <dataValidation type="list" allowBlank="1" showInputMessage="1" showErrorMessage="1" error="Select the flow rate(s) associated with this segment" prompt="Select the flow rate(s) associated with this segment" sqref="V10 V15 V25 V20 V31">
      <formula1>$X$22:$X$24</formula1>
    </dataValidation>
    <dataValidation type="decimal" allowBlank="1" showErrorMessage="1" error="Baffle Factor must be less than or equal to 1" sqref="U10 U31 U25 U20 U15">
      <formula1>0</formula1>
      <formula2>1</formula2>
    </dataValidation>
    <dataValidation type="list" allowBlank="1" showInputMessage="1" prompt="Select from list or enter name of segment_x000a_" sqref="Q20 Q15 Q25">
      <formula1>$X$4:$X$12</formula1>
    </dataValidation>
    <dataValidation type="list" showInputMessage="1" showErrorMessage="1" error="Select 'C' for Celsius or 'F' for Farhrenheit" prompt="Select 'C' for Celsius or 'F' for Farhrenheit" sqref="D11 D16 D21 D26 D32">
      <formula1>$X$17:$X$18</formula1>
    </dataValidation>
    <dataValidation type="decimal" allowBlank="1" showInputMessage="1" showErrorMessage="1" error="Value must be between Zero and 14" sqref="C13 C34 C23 C18 C28">
      <formula1>1E-21</formula1>
      <formula2>14</formula2>
    </dataValidation>
    <dataValidation allowBlank="1" prompt="_x000a_" sqref="R15 R20 R25 R30:R31"/>
    <dataValidation allowBlank="1" showInputMessage="1" sqref="Q30"/>
    <dataValidation type="decimal" allowBlank="1" showInputMessage="1" showErrorMessage="1" error="Temp must be greater than Zero and less than 100" sqref="C32 C11 C21 C26">
      <formula1>0.0001</formula1>
      <formula2>101</formula2>
    </dataValidation>
    <dataValidation type="list" allowBlank="1" showErrorMessage="1" sqref="B12 B17 B22 B27 B33">
      <formula1>$X$32:$X$35</formula1>
    </dataValidation>
    <dataValidation type="list" allowBlank="1" showInputMessage="1" showErrorMessage="1" error="Must select from the list" prompt="Select the data type." sqref="S30">
      <formula1>$X$38:$X$40</formula1>
    </dataValidation>
    <dataValidation type="decimal" allowBlank="1" showInputMessage="1" showErrorMessage="1" error="Value must be greater than Zero and less than or equal to 3.0" sqref="S5">
      <formula1>1E-28</formula1>
      <formula2>3</formula2>
    </dataValidation>
    <dataValidation type="decimal" allowBlank="1" showInputMessage="1" showErrorMessage="1" error="Temp must be greater than Zero and less than 100" sqref="C16">
      <formula1>0.001</formula1>
      <formula2>101</formula2>
    </dataValidation>
    <dataValidation type="decimal" allowBlank="1" showErrorMessage="1" error="Value must be greater than Zero and less than or equal to 3.0" sqref="S3">
      <formula1>1E-28</formula1>
      <formula2>3</formula2>
    </dataValidation>
    <dataValidation type="decimal" allowBlank="1" showInputMessage="1" showErrorMessage="1" error="Value must be greater than Zero and less than or equal to 100" sqref="S6">
      <formula1>1E-28</formula1>
      <formula2>100</formula2>
    </dataValidation>
  </dataValidations>
  <pageMargins left="0.25" right="0.25" top="0.5" bottom="0.5" header="0.5" footer="0.5"/>
  <pageSetup scale="96"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O108"/>
  <sheetViews>
    <sheetView workbookViewId="0">
      <selection activeCell="B3" sqref="B3"/>
    </sheetView>
  </sheetViews>
  <sheetFormatPr defaultRowHeight="12.75" x14ac:dyDescent="0.2"/>
  <cols>
    <col min="1" max="1" width="18" customWidth="1"/>
    <col min="2" max="2" width="4" customWidth="1"/>
    <col min="3" max="3" width="9.28515625" bestFit="1" customWidth="1"/>
    <col min="4" max="4" width="12.140625" customWidth="1"/>
    <col min="6" max="6" width="11.85546875" customWidth="1"/>
    <col min="7" max="7" width="9.5703125" customWidth="1"/>
    <col min="8" max="8" width="11.140625" customWidth="1"/>
    <col min="9" max="9" width="11.7109375" customWidth="1"/>
    <col min="10" max="13" width="6.7109375" customWidth="1"/>
    <col min="14" max="14" width="4.140625" customWidth="1"/>
    <col min="15" max="41" width="6.7109375" customWidth="1"/>
    <col min="42" max="42" width="3.5703125" customWidth="1"/>
    <col min="43" max="43" width="20.42578125" bestFit="1" customWidth="1"/>
    <col min="44" max="44" width="4.140625" customWidth="1"/>
    <col min="45" max="45" width="8.140625" customWidth="1"/>
    <col min="46" max="46" width="8.5703125" customWidth="1"/>
    <col min="47" max="58" width="7.7109375" customWidth="1"/>
    <col min="59" max="59" width="4.140625" customWidth="1"/>
    <col min="60" max="60" width="22" customWidth="1"/>
    <col min="61" max="61" width="3.42578125" customWidth="1"/>
    <col min="63" max="71" width="7.7109375" customWidth="1"/>
    <col min="72" max="72" width="4.140625" customWidth="1"/>
    <col min="73" max="73" width="22" customWidth="1"/>
    <col min="74" max="74" width="3.42578125" customWidth="1"/>
    <col min="76" max="84" width="7.7109375" customWidth="1"/>
    <col min="85" max="85" width="4.85546875" customWidth="1"/>
    <col min="86" max="86" width="22" customWidth="1"/>
    <col min="87" max="87" width="3.42578125" customWidth="1"/>
    <col min="89" max="97" width="7.7109375" customWidth="1"/>
    <col min="99" max="99" width="17.5703125" customWidth="1"/>
  </cols>
  <sheetData>
    <row r="1" spans="1:119" ht="13.5" thickBot="1" x14ac:dyDescent="0.25">
      <c r="A1" s="605" t="s">
        <v>466</v>
      </c>
      <c r="B1" s="585"/>
      <c r="C1" s="585"/>
      <c r="D1" s="585"/>
      <c r="E1" s="585"/>
      <c r="F1" s="585"/>
      <c r="G1" s="585"/>
      <c r="H1" s="606" t="s">
        <v>436</v>
      </c>
      <c r="I1" s="607"/>
      <c r="J1" s="606" t="s">
        <v>448</v>
      </c>
      <c r="K1" s="585"/>
      <c r="L1" s="585"/>
      <c r="M1" s="585"/>
      <c r="N1" s="163"/>
      <c r="O1" s="612" t="s">
        <v>602</v>
      </c>
      <c r="P1" s="612"/>
      <c r="Q1" s="612"/>
      <c r="R1" s="612"/>
      <c r="S1" s="4"/>
      <c r="T1" s="612" t="s">
        <v>633</v>
      </c>
      <c r="U1" s="612"/>
      <c r="V1" s="612"/>
      <c r="W1" s="612"/>
      <c r="Y1" s="397" t="s">
        <v>577</v>
      </c>
      <c r="Z1" s="395"/>
      <c r="AA1" s="395"/>
      <c r="AB1" s="395"/>
      <c r="AC1" s="395"/>
      <c r="AD1" s="395"/>
      <c r="AE1" s="395"/>
      <c r="AF1" s="395"/>
      <c r="AG1" s="395"/>
      <c r="AH1" s="395"/>
      <c r="AI1" s="395"/>
      <c r="AJ1" s="395"/>
      <c r="AK1" s="395"/>
      <c r="AL1" s="395"/>
      <c r="AM1" s="395"/>
      <c r="AN1" s="395"/>
      <c r="AO1" s="395"/>
      <c r="AP1" s="9"/>
      <c r="AQ1" s="9"/>
      <c r="AR1" s="9"/>
      <c r="AU1" s="9"/>
      <c r="AV1" s="9"/>
      <c r="AW1" s="9"/>
      <c r="AX1" s="9"/>
      <c r="AY1" s="9"/>
      <c r="BA1" s="277"/>
      <c r="BB1" s="399" t="s">
        <v>617</v>
      </c>
      <c r="BC1" s="399"/>
      <c r="BD1" s="399"/>
      <c r="BE1" s="399"/>
      <c r="BF1" s="400"/>
      <c r="BK1" s="6" t="s">
        <v>157</v>
      </c>
      <c r="BL1" s="6" t="s">
        <v>158</v>
      </c>
      <c r="BM1" s="6" t="s">
        <v>159</v>
      </c>
      <c r="BN1" s="12" t="s">
        <v>160</v>
      </c>
      <c r="BO1" s="12" t="s">
        <v>161</v>
      </c>
      <c r="BX1" s="6" t="s">
        <v>157</v>
      </c>
      <c r="BY1" s="6" t="s">
        <v>158</v>
      </c>
      <c r="BZ1" s="6" t="s">
        <v>159</v>
      </c>
      <c r="CA1" s="12" t="s">
        <v>160</v>
      </c>
      <c r="CB1" s="12" t="s">
        <v>161</v>
      </c>
      <c r="CK1" s="6" t="s">
        <v>157</v>
      </c>
      <c r="CL1" s="6" t="s">
        <v>158</v>
      </c>
      <c r="CM1" s="6" t="s">
        <v>159</v>
      </c>
      <c r="CN1" s="12" t="s">
        <v>160</v>
      </c>
      <c r="CO1" s="12" t="s">
        <v>161</v>
      </c>
    </row>
    <row r="2" spans="1:119" ht="13.5" thickBot="1" x14ac:dyDescent="0.25">
      <c r="A2" s="18" t="s">
        <v>30</v>
      </c>
      <c r="B2" s="26"/>
      <c r="C2" s="24" t="s">
        <v>32</v>
      </c>
      <c r="D2" s="24" t="s">
        <v>13</v>
      </c>
      <c r="E2" s="24" t="s">
        <v>31</v>
      </c>
      <c r="F2" s="24" t="s">
        <v>41</v>
      </c>
      <c r="G2" s="24" t="s">
        <v>43</v>
      </c>
      <c r="H2" s="24" t="s">
        <v>44</v>
      </c>
      <c r="I2" s="24" t="s">
        <v>45</v>
      </c>
      <c r="J2" s="586" t="s">
        <v>44</v>
      </c>
      <c r="K2" s="586"/>
      <c r="L2" s="586" t="s">
        <v>45</v>
      </c>
      <c r="M2" s="586"/>
      <c r="N2" s="6"/>
      <c r="O2" s="592" t="s">
        <v>44</v>
      </c>
      <c r="P2" s="592"/>
      <c r="Q2" s="592" t="s">
        <v>45</v>
      </c>
      <c r="R2" s="592"/>
      <c r="S2" s="6"/>
      <c r="T2" s="592" t="s">
        <v>44</v>
      </c>
      <c r="U2" s="592"/>
      <c r="V2" s="592" t="s">
        <v>45</v>
      </c>
      <c r="W2" s="592"/>
      <c r="Y2" s="277" t="s">
        <v>157</v>
      </c>
      <c r="Z2" s="163" t="s">
        <v>158</v>
      </c>
      <c r="AA2" s="164" t="s">
        <v>159</v>
      </c>
      <c r="AB2" s="165" t="s">
        <v>160</v>
      </c>
      <c r="AC2" s="166" t="s">
        <v>161</v>
      </c>
      <c r="AD2" s="167" t="s">
        <v>153</v>
      </c>
      <c r="AE2" s="167" t="s">
        <v>59</v>
      </c>
      <c r="AF2" s="162" t="s">
        <v>155</v>
      </c>
      <c r="AG2" s="163" t="s">
        <v>154</v>
      </c>
      <c r="AH2" s="163" t="s">
        <v>166</v>
      </c>
      <c r="AI2" s="163" t="s">
        <v>162</v>
      </c>
      <c r="AJ2" s="168" t="s">
        <v>167</v>
      </c>
      <c r="AK2" s="168" t="s">
        <v>163</v>
      </c>
      <c r="AL2" s="168" t="s">
        <v>168</v>
      </c>
      <c r="AM2" s="168" t="s">
        <v>164</v>
      </c>
      <c r="AN2" s="168" t="s">
        <v>169</v>
      </c>
      <c r="AO2" s="168" t="s">
        <v>165</v>
      </c>
      <c r="AS2" s="4"/>
      <c r="AT2" s="4" t="s">
        <v>157</v>
      </c>
      <c r="AU2" s="4" t="s">
        <v>158</v>
      </c>
      <c r="AV2" s="4" t="s">
        <v>159</v>
      </c>
      <c r="AW2" s="160" t="s">
        <v>160</v>
      </c>
      <c r="AX2" s="160" t="s">
        <v>161</v>
      </c>
      <c r="AY2" s="5"/>
      <c r="BA2" s="28"/>
      <c r="BB2" s="58" t="s">
        <v>667</v>
      </c>
      <c r="BC2" s="6"/>
      <c r="BD2" s="58" t="s">
        <v>436</v>
      </c>
      <c r="BE2" s="6"/>
      <c r="BF2" s="7"/>
    </row>
    <row r="3" spans="1:119" ht="13.5" thickBot="1" x14ac:dyDescent="0.25">
      <c r="A3" s="18"/>
      <c r="B3" s="26"/>
      <c r="C3" s="24" t="s">
        <v>29</v>
      </c>
      <c r="D3" s="24" t="s">
        <v>39</v>
      </c>
      <c r="E3" s="24" t="s">
        <v>40</v>
      </c>
      <c r="F3" s="24" t="s">
        <v>42</v>
      </c>
      <c r="G3" s="24" t="s">
        <v>10</v>
      </c>
      <c r="H3" s="24" t="s">
        <v>42</v>
      </c>
      <c r="I3" s="24" t="s">
        <v>41</v>
      </c>
      <c r="J3" s="586" t="s">
        <v>42</v>
      </c>
      <c r="K3" s="586"/>
      <c r="L3" s="586" t="s">
        <v>41</v>
      </c>
      <c r="M3" s="586"/>
      <c r="N3" s="6"/>
      <c r="O3" s="593" t="s">
        <v>42</v>
      </c>
      <c r="P3" s="593"/>
      <c r="Q3" s="581" t="s">
        <v>41</v>
      </c>
      <c r="R3" s="581"/>
      <c r="S3" s="6"/>
      <c r="T3" s="593" t="s">
        <v>42</v>
      </c>
      <c r="U3" s="593"/>
      <c r="V3" s="581" t="s">
        <v>41</v>
      </c>
      <c r="W3" s="581"/>
      <c r="Y3" s="183" t="str">
        <f>IF(OR(AF3="",AG3=""),"",IF(AF3=AG3,1,IF(AF3&lt;AG3,2,0)))</f>
        <v/>
      </c>
      <c r="Z3" s="35" t="str">
        <f>IF(OR(AH3="",AI3=""),"",IF(AH3=AI3,1,IF(AH3&lt;AI3,2,0)))</f>
        <v/>
      </c>
      <c r="AA3" s="35" t="str">
        <f>IF(OR(AJ3="",AK3=""),"",IF(AJ3=AK3,1,IF(AJ3&lt;AK3,2,0)))</f>
        <v/>
      </c>
      <c r="AB3" s="35" t="str">
        <f>IF(OR(AL3="",AM3=""),"",IF(AL3=AM3,1,IF(AL3&lt;AM3,2,0)))</f>
        <v/>
      </c>
      <c r="AC3" s="32" t="str">
        <f>IF(OR(AN3="",AO3=""),"",IF(AN3=AO3,1,IF(AN3&lt;AO3,2,0)))</f>
        <v/>
      </c>
      <c r="AD3" s="35">
        <v>1</v>
      </c>
      <c r="AE3" s="85">
        <v>0.4</v>
      </c>
      <c r="AF3" s="290" t="str">
        <f t="shared" ref="AF3:AF16" si="0">IF(AN22="","",AN22*(1-SUM(CTga2,CTga3,CTga4,CTga5)))</f>
        <v/>
      </c>
      <c r="AG3" s="88" t="str">
        <f>IF(Time1="","",AE3*Time1)</f>
        <v/>
      </c>
      <c r="AH3" s="104" t="str">
        <f t="shared" ref="AH3:AH16" si="1">IF(AN40="","",AN40*(1-SUM(CTga1,CTga3,CTga4,CTga5)))</f>
        <v/>
      </c>
      <c r="AI3" s="123" t="str">
        <f>IF(Time2="","",AE3*Time2)</f>
        <v/>
      </c>
      <c r="AJ3" s="104" t="str">
        <f t="shared" ref="AJ3:AJ16" si="2">IF(AN58="","",AN58*(1-SUM(CTga1,CTga2,CTga4,CTga5)))</f>
        <v/>
      </c>
      <c r="AK3" s="123" t="str">
        <f t="shared" ref="AK3:AK16" si="3">IF(Time3="","",AE3*Time3)</f>
        <v/>
      </c>
      <c r="AL3" s="104" t="str">
        <f t="shared" ref="AL3:AL16" si="4">IF(AN76="","",AN76*(1-SUM(CTga1,CTga2,CTga3,CTga5)))</f>
        <v/>
      </c>
      <c r="AM3" s="123" t="str">
        <f t="shared" ref="AM3:AM16" si="5">IF(Time4="","",AE3*Time4)</f>
        <v/>
      </c>
      <c r="AN3" s="104" t="str">
        <f t="shared" ref="AN3:AN16" si="6">IF(AN94="","",AN94*(1-SUM(CTga1,CTga2,CTga3,CTga4)))</f>
        <v/>
      </c>
      <c r="AO3" s="105" t="str">
        <f t="shared" ref="AO3:AO16" si="7">IF(Time5="","",AE3*Time5)</f>
        <v/>
      </c>
      <c r="AS3" s="6" t="s">
        <v>156</v>
      </c>
      <c r="AT3" s="76" t="str">
        <f>IF(OR(Y17=1,Y17=3),VLOOKUP(1,Y3:AE16,7,FALSE),IF(OR(Time1=0,Time1=""),"",IF(Y17=0,AF16/Time1,"")))</f>
        <v/>
      </c>
      <c r="AU3" s="76" t="str">
        <f>IF(OR(Z17=1,Z17=3),VLOOKUP(1,Z3:AE16,6,FALSE),IF(OR(Time2=0,Time2=""),"",IF(Z17=0,AH16/Time2,"")))</f>
        <v/>
      </c>
      <c r="AV3" s="76" t="str">
        <f>IF(OR(AA17=1,AA17=3),VLOOKUP(1,AA3:AE16,5,FALSE),IF(OR(Time3=0,Time3=""),"",IF(AA17=0,AJ16/Time3,"")))</f>
        <v/>
      </c>
      <c r="AW3" s="76" t="str">
        <f>IF(OR(AB17=1,AB17=3),VLOOKUP(1,AB3:AE16,4,FALSE),IF(OR(Time4=0,Time4=""),"",IF(AB17=0,AL16/Time4,"")))</f>
        <v/>
      </c>
      <c r="AX3" s="76" t="str">
        <f>IF(OR(AC17=1,AC17=3),VLOOKUP(1,AC3:AE16,3,FALSE),IF(OR(Time5=0,Time5=""),"",IF(AC17=0,AN16/Time5,"")))</f>
        <v/>
      </c>
      <c r="AY3" s="7"/>
      <c r="BA3" s="28"/>
      <c r="BB3" s="58" t="s">
        <v>668</v>
      </c>
      <c r="BC3" s="6" t="s">
        <v>602</v>
      </c>
      <c r="BD3" s="58" t="s">
        <v>666</v>
      </c>
      <c r="BE3" s="6" t="s">
        <v>618</v>
      </c>
      <c r="BF3" s="7"/>
      <c r="BJ3" s="618" t="s">
        <v>579</v>
      </c>
      <c r="BK3" s="562"/>
      <c r="BL3" s="562"/>
      <c r="BM3" s="562"/>
      <c r="BN3" s="562"/>
      <c r="BO3" s="563"/>
      <c r="BW3" s="618" t="s">
        <v>581</v>
      </c>
      <c r="BX3" s="562"/>
      <c r="BY3" s="562"/>
      <c r="BZ3" s="562"/>
      <c r="CA3" s="562"/>
      <c r="CB3" s="563"/>
      <c r="CJ3" s="618" t="s">
        <v>585</v>
      </c>
      <c r="CK3" s="562"/>
      <c r="CL3" s="562"/>
      <c r="CM3" s="562"/>
      <c r="CN3" s="562"/>
      <c r="CO3" s="563"/>
    </row>
    <row r="4" spans="1:119" ht="13.5" thickBot="1" x14ac:dyDescent="0.25">
      <c r="A4" s="28" t="str">
        <f>'CT Worksheet'!B9</f>
        <v>Clearwell</v>
      </c>
      <c r="B4" s="6"/>
      <c r="C4" s="22" t="str">
        <f>IF(AND(plantflow="",HSflow=""),"",IF('CT Worksheet'!V10="Plant",plantflow,IF('CT Worksheet'!V10="High Service",HSflow,IF('CT Worksheet'!V10="Both",MAX('CT Worksheet'!C5:C6),""))))</f>
        <v/>
      </c>
      <c r="D4" s="22" t="str">
        <f>IF(OR('CT Worksheet'!S10="",'CT Worksheet'!C10="",'CT Worksheet'!U10=""),"",('CT Worksheet'!S10*'CT Worksheet'!C10*'CT Worksheet'!U10))</f>
        <v/>
      </c>
      <c r="E4" s="293" t="str">
        <f>IF(AND('CT Worksheet'!U12="",'CT Worksheet'!U13="",OR(D4="",C4="",C4=0)),"",IF(AND('CT Worksheet'!U12&lt;&gt;"",'CT Worksheet'!C10=""),"",IF(AND('CT Worksheet'!U12&lt;&gt;"",'CT Worksheet'!U13=""),'CT Worksheet'!U12*'CT Worksheet'!C10,IF('CT Worksheet'!U13&lt;&gt;"",'CT Worksheet'!U13,D4/C4))))</f>
        <v/>
      </c>
      <c r="F4" s="225" t="str">
        <f>IF(OR('CT Worksheet'!C11="",DR_1="",ph_1="",'CT Worksheet'!D11="",Time1="",Time1=0),"",IF(AND('CT Worksheet'!C10=0,'CT Worksheet'!U13=""),0,E4*'CT Worksheet'!C12))</f>
        <v/>
      </c>
      <c r="G4" s="293" t="str">
        <f>IF('CT Worksheet'!C11="","",IF('CT Worksheet'!D11="C",'CT Worksheet'!C11,IF('CT Worksheet'!D11="F",(('CT Worksheet'!C11-32)*5/9),"")))</f>
        <v/>
      </c>
      <c r="H4" s="231" t="str">
        <f>IF(F4="","",IF('CT Worksheet'!B12="Cl2 (free)",T23,IF('CT Worksheet'!B12="Chlorine Dioxide",BR25,IF('CT Worksheet'!B12="Ozone",CE25,IF('CT Worksheet'!B12="Chloramine",CR25,"")))))</f>
        <v/>
      </c>
      <c r="I4" s="226" t="str">
        <f>IF(F4=0,0,IF(OR(F4="",H4=""),"",F4/H4))</f>
        <v/>
      </c>
      <c r="J4" s="595" t="str">
        <f>IF(F4="","",IF('CT Worksheet'!B12="Cl2 (free)",BE25,IF('CT Worksheet'!B12="Chlorine Dioxide",BR30,IF('CT Worksheet'!B12="Ozone",CE30,IF('CT Worksheet'!B12="Chloramine",CR32,"")))))</f>
        <v/>
      </c>
      <c r="K4" s="596"/>
      <c r="L4" s="597" t="str">
        <f>IF(F4=0,0,IF(OR(F4="",J4=""),"",F4/J4))</f>
        <v/>
      </c>
      <c r="M4" s="598"/>
      <c r="N4" s="6"/>
      <c r="O4" s="576" t="str">
        <f>IF((F4=""),"",IF(AND(OR(('CT Worksheet'!B12="Cl2 (free)"),('CT Worksheet'!B12="Chloramine")),(logCryptoR&gt;0)),0,IF(('CT Worksheet'!B12="Chlorine Dioxide"),BR35,IF(('CT Worksheet'!B12="Ozone"),CE35,""))))</f>
        <v/>
      </c>
      <c r="P4" s="577"/>
      <c r="Q4" s="578" t="str">
        <f>IF(logCryptoR="","",IF(OR(F4=0,O4=0),0,IF(OR((F4=""),(O4="")),"",(F4/O4))))</f>
        <v/>
      </c>
      <c r="R4" s="579"/>
      <c r="S4" s="6"/>
      <c r="T4" s="576" t="str">
        <f>IF((F4=""),"",IF(AND(OR(('CT Worksheet'!B12="Chlorine Dioxide"),('CT Worksheet'!B12="Chloramine")),(MicrocystinR&gt;0)),0,IF(AND('CT Worksheet'!B12="Cl2 (free)",(MicrocystinR&gt;0)),DJ24,IF(AND('CT Worksheet'!B12="Ozone",(MicrocystinR&gt;0)),DN22,""))))</f>
        <v/>
      </c>
      <c r="U4" s="577"/>
      <c r="V4" s="578" t="str">
        <f>IF(MicrocystinR="","",IF(OR(F4=0,T4=0),0,IF(OR((F4=""),(T4="")),"",(F4/T4))))</f>
        <v/>
      </c>
      <c r="W4" s="579"/>
      <c r="Y4" s="28" t="str">
        <f>IF(OR(AF4="",AG4=""),"",IF(SUM(Y3)&gt;=2,0,IF(AF4=AG4,1,IF(AF4&lt;AG4,2,0))))</f>
        <v/>
      </c>
      <c r="Z4" s="6" t="str">
        <f>IF(OR(AH4="",AI4=""),"",IF(SUM(Z3)&gt;=2,0,IF(AH4=AI4,1,IF(AH4&lt;AI4,2,0))))</f>
        <v/>
      </c>
      <c r="AA4" s="6" t="str">
        <f>IF(OR(AJ4="",AK4=""),"",IF(SUM(AA3)&gt;=2,0,IF(AJ4=AK4,1,IF(AJ4&lt;AK4,2,0))))</f>
        <v/>
      </c>
      <c r="AB4" s="6" t="str">
        <f>IF(OR(AL4="",AM4=""),"",IF(SUM(AB3)&gt;=2,0,IF(AL4=AM4,1,IF(AL4&lt;AM4,2,0))))</f>
        <v/>
      </c>
      <c r="AC4" s="2" t="str">
        <f>IF(OR(AN4="",AO4=""),"",IF(SUM(AC3)&gt;=2,0,IF(AN4=AO4,1,IF(AN4&lt;AO4,2,0))))</f>
        <v/>
      </c>
      <c r="AD4" s="6">
        <v>2</v>
      </c>
      <c r="AE4" s="86">
        <v>0.6</v>
      </c>
      <c r="AF4" s="290" t="str">
        <f t="shared" si="0"/>
        <v/>
      </c>
      <c r="AG4" s="88" t="str">
        <f t="shared" ref="AG4:AG16" si="8">IF(Time1="","",AE4*Time1)</f>
        <v/>
      </c>
      <c r="AH4" s="83" t="str">
        <f t="shared" si="1"/>
        <v/>
      </c>
      <c r="AI4" s="124" t="str">
        <f t="shared" ref="AI4:AI16" si="9">IF(Time2="","",AE4*Time2)</f>
        <v/>
      </c>
      <c r="AJ4" s="83" t="str">
        <f t="shared" si="2"/>
        <v/>
      </c>
      <c r="AK4" s="124" t="str">
        <f t="shared" si="3"/>
        <v/>
      </c>
      <c r="AL4" s="83" t="str">
        <f t="shared" si="4"/>
        <v/>
      </c>
      <c r="AM4" s="124" t="str">
        <f t="shared" si="5"/>
        <v/>
      </c>
      <c r="AN4" s="83" t="str">
        <f t="shared" si="6"/>
        <v/>
      </c>
      <c r="AO4" s="88" t="str">
        <f t="shared" si="7"/>
        <v/>
      </c>
      <c r="AS4" s="6" t="s">
        <v>172</v>
      </c>
      <c r="AT4" s="76" t="str">
        <f>IF(Y3=2,AF3/Time1,IF(Y17=2,VLOOKUP(2,Y3:AE16,7,FALSE),""))</f>
        <v/>
      </c>
      <c r="AU4" s="293" t="str">
        <f>IF(Z3=2,AH3/Time2,IF(Z17=2,VLOOKUP(2,Z3:AE16,6,FALSE),""))</f>
        <v/>
      </c>
      <c r="AV4" s="76" t="str">
        <f>IF(AA3=2,AJ3/Time3,IF(AA17=2,VLOOKUP(2,AA3:AE16,5,FALSE),""))</f>
        <v/>
      </c>
      <c r="AW4" s="76" t="str">
        <f>IF(AB3=2,AL3/Time4,IF(AB17=2,VLOOKUP(2,AB3:AE16,4,FALSE),""))</f>
        <v/>
      </c>
      <c r="AX4" s="76" t="str">
        <f>IF(AC3=2,AN3/Time5,IF(AC17=2,VLOOKUP(2,AC3:AE16,3,FALSE),""))</f>
        <v/>
      </c>
      <c r="AY4" s="7"/>
      <c r="BA4" s="28"/>
      <c r="BB4" s="22" t="str">
        <f>IF(AND(DK7="",DL7="",DM7="",DN7="",DO7="",CZ7="",DA7="",DB7="",DC7="",DD7=""),"",ROUNDUP(MAX(CZ7,DK7),2))</f>
        <v/>
      </c>
      <c r="BC4" s="22" t="str">
        <f>IF(AND(AT11="",AT16="",BK5="",BK10="",BX5="",BX10="",CK5="",CK10="",BK15="",BX15=""),"",ROUNDUP(MAX(AT12,AT16,BK5,BK10,BX5,BX10,CK5,CK10,BK15,BX15),2))</f>
        <v/>
      </c>
      <c r="BD4" s="22" t="str">
        <f>IF(AND(AT11="",AT16="",BK5="",BK10="",BX5="",BX10="",CK5="",CK10=""),"",ROUNDUP(MAX(AT12,AT16,BK5,BK10,BX5,BX10,CK5,CK10),2))</f>
        <v/>
      </c>
      <c r="BE4" s="363" t="str">
        <f>IF(AND(BC4="",BD4="",BB4=""),"",IF(AND(logCryptoR="",MicrocystinR=""),BD4,IF(AND(logCryptoR&lt;&gt;"",MicrocystinR&lt;&gt;"",'CT Worksheet'!B12="Ozone"),MAX(BB4:BD4),IF(AND(logCryptoR&lt;&gt;"",MicrocystinR&lt;&gt;"",'CT Worksheet'!B12="Cl2 (Free)"),MAX(BB4,BD4),IF(AND(logCryptoR&lt;&gt;"",MicrocystinR&lt;&gt;"", 'CT Worksheet'!B12="Chlorine Dioxide"),MAX(BC4:BD4),IF(AND(logCryptoR&lt;&gt;"",MicrocystinR="",OR('CT Worksheet'!B12="Ozone",'CT Worksheet'!B12="Chlorine Dioxide")),MAX(BC4:BD4),MAX(BB4,BD4)))))))</f>
        <v/>
      </c>
      <c r="BF4" s="7"/>
      <c r="BJ4" s="277" t="s">
        <v>583</v>
      </c>
      <c r="BK4" s="285" t="str">
        <f>IF(BR25="","",BR25*(1-SUM(CTga2,CTga3,CTga4,CTga5))/Time1)</f>
        <v/>
      </c>
      <c r="BL4" s="285" t="str">
        <f>IF(BR43="","",BR43*(1-SUM(CTga1,CTga3,CTga4,CTga5))/Time2)</f>
        <v/>
      </c>
      <c r="BM4" s="285" t="str">
        <f>IF(BR61="","",BR61*(1-SUM(CTga2,CTga1,CTga4,CTga5))/Time3)</f>
        <v/>
      </c>
      <c r="BN4" s="285" t="str">
        <f>IF(BR79="","",BR79*(1-SUM(CTga2,CTga3,CTga1,CTga5))/Time4)</f>
        <v/>
      </c>
      <c r="BO4" s="286" t="str">
        <f>IF(BR97="","",BR97*(1-SUM(CTga2,CTga3,CTga4,CTga1))/Time5)</f>
        <v/>
      </c>
      <c r="BW4" s="277" t="s">
        <v>584</v>
      </c>
      <c r="BX4" s="285" t="str">
        <f>IF(CE25="","",CE25*(1-SUM(CTga2,CTga3,CTga4,CTga5))/Time1)</f>
        <v/>
      </c>
      <c r="BY4" s="285" t="str">
        <f>IF(CE43="","",CE43*(1-SUM(CTga1,CTga3,CTga4,CTga5))/Time2)</f>
        <v/>
      </c>
      <c r="BZ4" s="285" t="str">
        <f>IF(CE61="","",CE61*(1-SUM(CTga2,CTga1,CTga4,CTga5))/Time3)</f>
        <v/>
      </c>
      <c r="CA4" s="285" t="str">
        <f>IF(CE79="","",CE79*(1-SUM(CTga2,CTga3,CTga1,CTga5))/Time4)</f>
        <v/>
      </c>
      <c r="CB4" s="286" t="str">
        <f>IF(CE97="","",CE97*(1-SUM(CTga2,CTga3,CTga4,CTga1))/Time5)</f>
        <v/>
      </c>
      <c r="CJ4" s="277" t="s">
        <v>589</v>
      </c>
      <c r="CK4" s="285" t="str">
        <f>IF(CR25="","",CR25*(1-SUM(CTga2,CTga3,CTga4,CTga5))/Time1)</f>
        <v/>
      </c>
      <c r="CL4" s="285" t="str">
        <f>IF(CR43="","",CR43*(1-SUM(CTga1,CTga3,CTga4,CTga5))/Time2)</f>
        <v/>
      </c>
      <c r="CM4" s="285" t="str">
        <f>IF(CR61="","",CR61*(1-SUM(CTga2,CTga1,CTga4,CTga5))/Time3)</f>
        <v/>
      </c>
      <c r="CN4" s="285" t="str">
        <f>IF(CR79="","",CR79*(1-SUM(CTga2,CTga3,CTga1,CTga5))/Time4)</f>
        <v/>
      </c>
      <c r="CO4" s="286" t="str">
        <f>IF(CR97="","",CR97*(1-SUM(CTga2,CTga3,CTga4,CTga1))/Time5)</f>
        <v/>
      </c>
    </row>
    <row r="5" spans="1:119" ht="13.5" thickBot="1" x14ac:dyDescent="0.25">
      <c r="A5" s="28"/>
      <c r="B5" s="6"/>
      <c r="C5" s="22"/>
      <c r="D5" s="22"/>
      <c r="E5" s="22"/>
      <c r="F5" s="345"/>
      <c r="G5" s="22"/>
      <c r="H5" s="349">
        <f>IF((H4=""),0,H4)</f>
        <v>0</v>
      </c>
      <c r="I5" s="24"/>
      <c r="J5" s="580">
        <f>IF((J4=""),0,J4)</f>
        <v>0</v>
      </c>
      <c r="K5" s="580"/>
      <c r="L5" s="586"/>
      <c r="M5" s="586"/>
      <c r="N5" s="6"/>
      <c r="O5" s="580">
        <f>IF((O4=""),0,O4)</f>
        <v>0</v>
      </c>
      <c r="P5" s="580"/>
      <c r="Q5" s="581"/>
      <c r="R5" s="581"/>
      <c r="S5" s="6"/>
      <c r="T5" s="580">
        <f>IF((T4=""),0,T4)</f>
        <v>0</v>
      </c>
      <c r="U5" s="580"/>
      <c r="V5" s="581"/>
      <c r="W5" s="581"/>
      <c r="Y5" s="28" t="str">
        <f>IF(OR(AF5="",AG5=""),"",IF(SUM(Y3:Y4)&gt;=2,0,IF(AF5=AG5,1,IF(AF5&lt;AG5,2,0))))</f>
        <v/>
      </c>
      <c r="Z5" s="6" t="str">
        <f>IF(OR(AH5="",AI5=""),"",IF(SUM(Z3:Z4)&gt;=2,0,IF(AH5=AI5,1,IF(AH5&lt;AI5,2,0))))</f>
        <v/>
      </c>
      <c r="AA5" s="6" t="str">
        <f>IF(OR(AJ5="",AK5=""),"",IF(SUM(AA3:AA4)&gt;=2,0,IF(AJ5=AK5,1,IF(AJ5&lt;AK5,2,0))))</f>
        <v/>
      </c>
      <c r="AB5" s="6" t="str">
        <f>IF(OR(AL5="",AM5=""),"",IF(SUM(AB3:AB4)&gt;=2,0,IF(AL5=AM5,1,IF(AL5&lt;AM5,2,0))))</f>
        <v/>
      </c>
      <c r="AC5" s="2" t="str">
        <f>IF(OR(AN5="",AO5=""),"",IF(SUM(AC3:AC4)&gt;=2,0,IF(AN5=AO5,1,IF(AN5&lt;AO5,2,0))))</f>
        <v/>
      </c>
      <c r="AD5" s="6">
        <v>3</v>
      </c>
      <c r="AE5" s="86">
        <v>0.8</v>
      </c>
      <c r="AF5" s="290" t="str">
        <f t="shared" si="0"/>
        <v/>
      </c>
      <c r="AG5" s="88" t="str">
        <f t="shared" si="8"/>
        <v/>
      </c>
      <c r="AH5" s="83" t="str">
        <f t="shared" si="1"/>
        <v/>
      </c>
      <c r="AI5" s="124" t="str">
        <f t="shared" si="9"/>
        <v/>
      </c>
      <c r="AJ5" s="83" t="str">
        <f t="shared" si="2"/>
        <v/>
      </c>
      <c r="AK5" s="124" t="str">
        <f t="shared" si="3"/>
        <v/>
      </c>
      <c r="AL5" s="83" t="str">
        <f t="shared" si="4"/>
        <v/>
      </c>
      <c r="AM5" s="124" t="str">
        <f t="shared" si="5"/>
        <v/>
      </c>
      <c r="AN5" s="83" t="str">
        <f t="shared" si="6"/>
        <v/>
      </c>
      <c r="AO5" s="88" t="str">
        <f t="shared" si="7"/>
        <v/>
      </c>
      <c r="AS5" s="6" t="s">
        <v>173</v>
      </c>
      <c r="AT5" s="76" t="str">
        <f>IF(Y3=2,"",IF(Y17=2,VLOOKUP(AT7-1,AD3:AE16,2,FALSE),""))</f>
        <v/>
      </c>
      <c r="AU5" s="76" t="str">
        <f>IF(Z3=2,"",IF(Z17=2,VLOOKUP(AU7-1,AD3:AE16,2,FALSE),""))</f>
        <v/>
      </c>
      <c r="AV5" s="76" t="str">
        <f>IF(AA3=2,"",IF(AA17=2,VLOOKUP(AV7-1,AD3:AE16,2,FALSE),""))</f>
        <v/>
      </c>
      <c r="AW5" s="76" t="str">
        <f>IF(AB3=2,"",IF(AB17=2,VLOOKUP(AW7-1,AD3:AE16,2,FALSE),""))</f>
        <v/>
      </c>
      <c r="AX5" s="76" t="str">
        <f>IF(AC3=2,"",IF(AC17=2,VLOOKUP(AX7-1,AD3:AE16,2,FALSE),""))</f>
        <v/>
      </c>
      <c r="AY5" s="7"/>
      <c r="BA5" s="28"/>
      <c r="BB5" s="6"/>
      <c r="BC5" s="6"/>
      <c r="BD5" s="6"/>
      <c r="BE5" s="6"/>
      <c r="BF5" s="7"/>
      <c r="BJ5" s="28" t="s">
        <v>499</v>
      </c>
      <c r="BK5" s="283" t="str">
        <f>IF(BK4="","",IF(BK4&lt;=0,0,BK4))</f>
        <v/>
      </c>
      <c r="BL5" s="283" t="str">
        <f>IF(BL4="","",IF(BL4&lt;=0,0,BL4))</f>
        <v/>
      </c>
      <c r="BM5" s="283" t="str">
        <f>IF(BM4="","",IF(BM4&lt;=0,0,BM4))</f>
        <v/>
      </c>
      <c r="BN5" s="283" t="str">
        <f>IF(BN4="","",IF(BN4&lt;=0,0,BN4))</f>
        <v/>
      </c>
      <c r="BO5" s="284" t="str">
        <f>IF(BO4="","",IF(BO4&lt;=0,0,BO4))</f>
        <v/>
      </c>
      <c r="BW5" s="28" t="s">
        <v>501</v>
      </c>
      <c r="BX5" s="281" t="str">
        <f>IF(BX4="","",IF(BX4&lt;=0,0,BX4))</f>
        <v/>
      </c>
      <c r="BY5" s="281" t="str">
        <f>IF(BY4="","",IF(BY4&lt;=0,0,BY4))</f>
        <v/>
      </c>
      <c r="BZ5" s="281" t="str">
        <f>IF(BZ4="","",IF(BZ4&lt;=0,0,BZ4))</f>
        <v/>
      </c>
      <c r="CA5" s="281" t="str">
        <f>IF(CA4="","",IF(CA4&lt;=0,0,CA4))</f>
        <v/>
      </c>
      <c r="CB5" s="282" t="str">
        <f>IF(CB4="","",IF(CB4&lt;=0,0,CB4))</f>
        <v/>
      </c>
      <c r="CJ5" s="28" t="s">
        <v>587</v>
      </c>
      <c r="CK5" s="281" t="str">
        <f>IF(CK4="","",IF(CK4&lt;=0,0,CK4))</f>
        <v/>
      </c>
      <c r="CL5" s="281" t="str">
        <f>IF(CL4="","",IF(CL4&lt;=0,0,CL4))</f>
        <v/>
      </c>
      <c r="CM5" s="281" t="str">
        <f>IF(CM4="","",IF(CM4&lt;=0,0,CM4))</f>
        <v/>
      </c>
      <c r="CN5" s="281" t="str">
        <f>IF(CN4="","",IF(CN4&lt;=0,0,CN4))</f>
        <v/>
      </c>
      <c r="CO5" s="282" t="str">
        <f>IF(CO4="","",IF(CO4&lt;=0,0,CO4))</f>
        <v/>
      </c>
      <c r="CY5" s="394" t="s">
        <v>669</v>
      </c>
      <c r="CZ5" s="395"/>
      <c r="DA5" s="395"/>
      <c r="DB5" s="395"/>
      <c r="DC5" s="395"/>
      <c r="DD5" s="396"/>
      <c r="DJ5" s="561" t="s">
        <v>671</v>
      </c>
      <c r="DK5" s="562"/>
      <c r="DL5" s="562"/>
      <c r="DM5" s="562"/>
      <c r="DN5" s="562"/>
      <c r="DO5" s="563"/>
    </row>
    <row r="6" spans="1:119" ht="13.5" thickBot="1" x14ac:dyDescent="0.25">
      <c r="A6" s="28" t="str">
        <f>'CT Worksheet'!B15</f>
        <v>Segment 2</v>
      </c>
      <c r="B6" s="6"/>
      <c r="C6" s="22" t="str">
        <f>IF(AND(plantflow="",HSflow=""),"",IF('CT Worksheet'!V15="Plant",plantflow,IF('CT Worksheet'!V15="High Service",HSflow,IF('CT Worksheet'!V15="Both",MAX('CT Worksheet'!C5:C6),""))))</f>
        <v/>
      </c>
      <c r="D6" s="22" t="str">
        <f>IF(OR('CT Worksheet'!S15="",'CT Worksheet'!U15=""),"",'CT Worksheet'!S15*'CT Worksheet'!U15)</f>
        <v/>
      </c>
      <c r="E6" s="293" t="str">
        <f>IF(AND('CT Worksheet'!U17="",OR(D6="",C6="",C6=0)),"",IF('CT Worksheet'!U17&lt;&gt;"",'CT Worksheet'!U17,D6/C6))</f>
        <v/>
      </c>
      <c r="F6" s="225" t="str">
        <f>IF(OR('CT Worksheet'!C16="",DR_2="",pH_2="",'CT Worksheet'!D16="",Time2=""),"",E6*'CT Worksheet'!C17)</f>
        <v/>
      </c>
      <c r="G6" s="293" t="str">
        <f>IF('CT Worksheet'!C16="","",IF('CT Worksheet'!D16="C",'CT Worksheet'!C16,IF('CT Worksheet'!D16="F",(('CT Worksheet'!C16-32)*5/9),"")))</f>
        <v/>
      </c>
      <c r="H6" s="231" t="str">
        <f>IF(F6="","",IF('CT Worksheet'!B17="Cl2 (free)",T41,IF('CT Worksheet'!B17="Chlorine Dioxide",BR43,IF('CT Worksheet'!B17="Ozone",CE43,IF('CT Worksheet'!B17="Chloramine",CR43,"")))))</f>
        <v/>
      </c>
      <c r="I6" s="227" t="str">
        <f>IF(F6=0,0,IF(OR(F6="",H6=""),"",F6/H6))</f>
        <v/>
      </c>
      <c r="J6" s="595" t="str">
        <f>IF(F6="","",IF('CT Worksheet'!B17="Cl2 (free)",BE43,IF('CT Worksheet'!B17="Chlorine Dioxide",BR48,IF('CT Worksheet'!B17="Ozone",CE48,IF('CT Worksheet'!B17="Chloramine",CR50,"")))))</f>
        <v/>
      </c>
      <c r="K6" s="596"/>
      <c r="L6" s="597" t="str">
        <f>IF(F6=0,0,IF(OR(F6="",J6=""),"",F6/J6))</f>
        <v/>
      </c>
      <c r="M6" s="598"/>
      <c r="N6" s="6"/>
      <c r="O6" s="576" t="str">
        <f>IF((F6=""),"",IF(AND(OR(('CT Worksheet'!B17="Cl2 (free)"),('CT Worksheet'!B17="Chloramine")),(logCryptoR&gt;0)),0,IF(('CT Worksheet'!B17="Chlorine Dioxide"),BR53,IF(('CT Worksheet'!B17="Ozone"),CE53,""))))</f>
        <v/>
      </c>
      <c r="P6" s="577"/>
      <c r="Q6" s="578" t="str">
        <f>IF(logCryptoR="","",IF(OR(F6=0,O6=0),0,IF(OR((F6=""),(O6="")),"",(F6/O6))))</f>
        <v/>
      </c>
      <c r="R6" s="579"/>
      <c r="S6" s="6"/>
      <c r="T6" s="576" t="str">
        <f>IF((F6=""),"",IF(AND(OR(('CT Worksheet'!B17="Chlorine Dioxide"),('CT Worksheet'!B17="Chloramine")),(MicrocystinR&gt;0)),0,IF(AND('CT Worksheet'!B17="Cl2 (free)",(MicrocystinR&gt;0)),DJ42,IF(AND('CT Worksheet'!B17="Ozone",(MicrocystinR&gt;0)),DN40,""))))</f>
        <v/>
      </c>
      <c r="U6" s="577"/>
      <c r="V6" s="578" t="str">
        <f>IF(MicrocystinR="","",IF(OR(F6=0,T6=0),0,IF(OR((F6=""),(T6="")),"",(F6/T6))))</f>
        <v/>
      </c>
      <c r="W6" s="579"/>
      <c r="Y6" s="28" t="str">
        <f>IF(OR(AF6="",AG6=""),"",IF(SUM(Y3:Y5)&gt;=2,0,IF(AF6=AG6,1,IF(AF6&lt;AG6,2,0))))</f>
        <v/>
      </c>
      <c r="Z6" s="6" t="str">
        <f>IF(OR(AH6="",AI6=""),"",IF(SUM(Z3:Z5)&gt;=2,0,IF(AH6=AI6,1,IF(AH6&lt;AI6,2,0))))</f>
        <v/>
      </c>
      <c r="AA6" s="6" t="str">
        <f>IF(OR(AJ6="",AK6=""),"",IF(SUM(AA3:AA5)&gt;=2,0,IF(AJ6=AK6,1,IF(AJ6&lt;AK6,2,0))))</f>
        <v/>
      </c>
      <c r="AB6" s="6" t="str">
        <f>IF(OR(AL6="",AM6=""),"",IF(SUM(AB3:AB5)&gt;=2,0,IF(AL6=AM6,1,IF(AL6&lt;AM6,2,0))))</f>
        <v/>
      </c>
      <c r="AC6" s="2" t="str">
        <f>IF(OR(AN6="",AO6=""),"",IF(SUM(AC3:AC5)&gt;=2,0,IF(AN6=AO6,1,IF(AN6&lt;AO6,2,0))))</f>
        <v/>
      </c>
      <c r="AD6" s="12">
        <v>4</v>
      </c>
      <c r="AE6" s="86">
        <v>1</v>
      </c>
      <c r="AF6" s="290" t="str">
        <f t="shared" si="0"/>
        <v/>
      </c>
      <c r="AG6" s="88" t="str">
        <f t="shared" si="8"/>
        <v/>
      </c>
      <c r="AH6" s="83" t="str">
        <f t="shared" si="1"/>
        <v/>
      </c>
      <c r="AI6" s="124" t="str">
        <f t="shared" si="9"/>
        <v/>
      </c>
      <c r="AJ6" s="83" t="str">
        <f t="shared" si="2"/>
        <v/>
      </c>
      <c r="AK6" s="124" t="str">
        <f t="shared" si="3"/>
        <v/>
      </c>
      <c r="AL6" s="83" t="str">
        <f t="shared" si="4"/>
        <v/>
      </c>
      <c r="AM6" s="124" t="str">
        <f t="shared" si="5"/>
        <v/>
      </c>
      <c r="AN6" s="83" t="str">
        <f t="shared" si="6"/>
        <v/>
      </c>
      <c r="AO6" s="88" t="str">
        <f t="shared" si="7"/>
        <v/>
      </c>
      <c r="AS6" s="6"/>
      <c r="AT6" s="6"/>
      <c r="AU6" s="6"/>
      <c r="AV6" s="6"/>
      <c r="AW6" s="6"/>
      <c r="AX6" s="6"/>
      <c r="AY6" s="7"/>
      <c r="BA6" s="28"/>
      <c r="BB6" s="22" t="str">
        <f>IF(AND(DK7="",DL7="",DM7="",DN7="",DO7="",CZ7="",DA7="",DB7="",DC7="",DD7=""),"",ROUNDUP(MAX(DA7,DL7),2))</f>
        <v/>
      </c>
      <c r="BC6" s="22" t="str">
        <f>IF(AND(Calculations!AU11="",Calculations!AU16="",Calculations!BL5="",Calculations!BL10="",Calculations!BY5="",Calculations!BY10="",Calculations!CL5="",Calculations!CL10="",BL15,BY15),"",ROUNDUP(MAX(Calculations!AU12,Calculations!AU16,Calculations!BL5,Calculations!BL10,Calculations!BY5,Calculations!BY10,Calculations!CL5,Calculations!CL10,BL15,BY15),2))</f>
        <v/>
      </c>
      <c r="BD6" s="22" t="str">
        <f>IF(AND(Calculations!AU11="",Calculations!AU16="",Calculations!BL5="",Calculations!BL10="",Calculations!BY5="",Calculations!BY10="",Calculations!CL5="",Calculations!CL10=""),"",ROUNDUP(MAX(Calculations!AU12,Calculations!AU16,Calculations!BL5,Calculations!BL10,Calculations!BY5,Calculations!BY10,Calculations!CL5,Calculations!CL10),2))</f>
        <v/>
      </c>
      <c r="BE6" s="363" t="str">
        <f>IF(AND(BC6="",BD6="",BB6=""),"",IF(AND(logCryptoR="",MicrocystinR=""),BD6,IF(AND(logCryptoR&lt;&gt;"",MicrocystinR&lt;&gt;"",'CT Worksheet'!B17="Ozone"),MAX(BB6:BD6),IF(AND(logCryptoR&lt;&gt;"",MicrocystinR&lt;&gt;"",'CT Worksheet'!B17="Cl2 (Free)"),MAX(BB6,BD6),IF(AND(logCryptoR&lt;&gt;"",MicrocystinR&lt;&gt;"", 'CT Worksheet'!B17="Chlorine Dioxide"),MAX(BC6:BD6),IF(AND(logCryptoR&lt;&gt;"",MicrocystinR="",OR('CT Worksheet'!B17="Ozone",'CT Worksheet'!B17="Chlorine Dioxide")),MAX(BC6:BD6),MAX(BB6,BD6)))))))</f>
        <v/>
      </c>
      <c r="BF6" s="7"/>
      <c r="BJ6" s="29"/>
      <c r="BK6" s="159" t="s">
        <v>1</v>
      </c>
      <c r="BL6" s="159" t="s">
        <v>1</v>
      </c>
      <c r="BM6" s="159" t="s">
        <v>1</v>
      </c>
      <c r="BN6" s="159" t="s">
        <v>1</v>
      </c>
      <c r="BO6" s="185" t="s">
        <v>1</v>
      </c>
      <c r="BW6" s="29"/>
      <c r="BX6" s="159" t="s">
        <v>1</v>
      </c>
      <c r="BY6" s="159" t="s">
        <v>1</v>
      </c>
      <c r="BZ6" s="159" t="s">
        <v>1</v>
      </c>
      <c r="CA6" s="159" t="s">
        <v>1</v>
      </c>
      <c r="CB6" s="185" t="s">
        <v>1</v>
      </c>
      <c r="CJ6" s="29"/>
      <c r="CK6" s="159" t="s">
        <v>1</v>
      </c>
      <c r="CL6" s="159" t="s">
        <v>1</v>
      </c>
      <c r="CM6" s="159" t="s">
        <v>1</v>
      </c>
      <c r="CN6" s="159" t="s">
        <v>1</v>
      </c>
      <c r="CO6" s="185" t="s">
        <v>1</v>
      </c>
      <c r="CY6" s="277" t="s">
        <v>578</v>
      </c>
      <c r="CZ6" s="278" t="str">
        <f>IF(DJ24="","",(DJ24*(1-SUM(CTma2,CTma3,CTma4,CTma5))/Time1))</f>
        <v/>
      </c>
      <c r="DA6" s="278" t="str">
        <f>IF(DJ42="","",DJ42*(1-SUM(CTma1,CTma3,CTma4,CTma5))/Time2)</f>
        <v/>
      </c>
      <c r="DB6" s="278" t="str">
        <f>IF(DJ60="","",DJ60*(1-SUM(CTma2,CTma1,CTma4,CTma5))/Time3)</f>
        <v/>
      </c>
      <c r="DC6" s="278" t="str">
        <f>IF(DJ78="","",DJ78*(1-SUM(CTma2,CTma3,CTma1,CTma5))/Time4)</f>
        <v/>
      </c>
      <c r="DD6" s="279" t="str">
        <f>IF(DJ96="","",DJ96*(1-SUM(CTma2,CTma3,CTma4,CTma1))/Time5)</f>
        <v/>
      </c>
      <c r="DJ6" s="277" t="s">
        <v>584</v>
      </c>
      <c r="DK6" s="285" t="str">
        <f>IF(DN22="","",DN22*(1-SUM(CTma2,CTma3,CTma4,CTma5))/Time1)</f>
        <v/>
      </c>
      <c r="DL6" s="285" t="str">
        <f>IF(DN40="","",DN40*(1-SUM(CTma1,CTma3,CTma4,CTma5))/Time2)</f>
        <v/>
      </c>
      <c r="DM6" s="285" t="str">
        <f>IF(DN58="","",DN58*(1-SUM(CTma2,CTma1,CTma4,CTma5))/Time3)</f>
        <v/>
      </c>
      <c r="DN6" s="285" t="str">
        <f>IF(DN76="","",DN76*(1-SUM(CTma2,CTma3,CTma1,CTma5))/Time4)</f>
        <v/>
      </c>
      <c r="DO6" s="286" t="str">
        <f>IF(DN94="","",DN94*(1-SUM(CTma2,CTma3,CTma4,CTma1))/Time5)</f>
        <v/>
      </c>
    </row>
    <row r="7" spans="1:119" ht="13.5" thickBot="1" x14ac:dyDescent="0.25">
      <c r="A7" s="28"/>
      <c r="B7" s="6"/>
      <c r="C7" s="22"/>
      <c r="D7" s="22"/>
      <c r="E7" s="22"/>
      <c r="F7" s="22"/>
      <c r="G7" s="22"/>
      <c r="H7" s="22"/>
      <c r="I7" s="24"/>
      <c r="J7" s="586"/>
      <c r="K7" s="586"/>
      <c r="L7" s="586"/>
      <c r="M7" s="586"/>
      <c r="N7" s="6"/>
      <c r="O7" s="577"/>
      <c r="P7" s="577"/>
      <c r="Q7" s="581"/>
      <c r="R7" s="581"/>
      <c r="S7" s="6"/>
      <c r="T7" s="580"/>
      <c r="U7" s="580"/>
      <c r="V7" s="581"/>
      <c r="W7" s="581"/>
      <c r="Y7" s="28" t="str">
        <f>IF(OR(AF7="",AG7=""),"",IF(SUM(Y3:Y6)&gt;=2,0,IF(AF7=AG7,1,IF(AF7&lt;AG7,2,0))))</f>
        <v/>
      </c>
      <c r="Z7" s="6" t="str">
        <f>IF(OR(AH7="",AI7=""),"",IF(SUM(Z3:Z6)&gt;=2,0,IF(AH7=AI7,1,IF(AH7&lt;AI7,2,0))))</f>
        <v/>
      </c>
      <c r="AA7" s="6" t="str">
        <f>IF(OR(AJ7="",AK7=""),"",IF(SUM(AA3:AA6)&gt;=2,0,IF(AJ7=AK7,1,IF(AJ7&lt;AK7,2,0))))</f>
        <v/>
      </c>
      <c r="AB7" s="6" t="str">
        <f>IF(OR(AL7="",AM7=""),"",IF(SUM(AB3:AB6)&gt;=2,0,IF(AL7=AM7,1,IF(AL7&lt;AM7,2,0))))</f>
        <v/>
      </c>
      <c r="AC7" s="2" t="str">
        <f>IF(OR(AN7="",AO7=""),"",IF(SUM(AC3:AC6)&gt;=2,0,IF(AN7=AO7,1,IF(AN7&lt;AO7,2,0))))</f>
        <v/>
      </c>
      <c r="AD7" s="12">
        <v>5</v>
      </c>
      <c r="AE7" s="86">
        <v>1.2</v>
      </c>
      <c r="AF7" s="290" t="str">
        <f t="shared" si="0"/>
        <v/>
      </c>
      <c r="AG7" s="88" t="str">
        <f t="shared" si="8"/>
        <v/>
      </c>
      <c r="AH7" s="83" t="str">
        <f t="shared" si="1"/>
        <v/>
      </c>
      <c r="AI7" s="124" t="str">
        <f t="shared" si="9"/>
        <v/>
      </c>
      <c r="AJ7" s="83" t="str">
        <f t="shared" si="2"/>
        <v/>
      </c>
      <c r="AK7" s="124" t="str">
        <f t="shared" si="3"/>
        <v/>
      </c>
      <c r="AL7" s="83" t="str">
        <f t="shared" si="4"/>
        <v/>
      </c>
      <c r="AM7" s="124" t="str">
        <f t="shared" si="5"/>
        <v/>
      </c>
      <c r="AN7" s="83" t="str">
        <f t="shared" si="6"/>
        <v/>
      </c>
      <c r="AO7" s="88" t="str">
        <f t="shared" si="7"/>
        <v/>
      </c>
      <c r="AS7" s="12" t="s">
        <v>153</v>
      </c>
      <c r="AT7" s="76" t="str">
        <f>IF(Y17=2,VLOOKUP(2,Y3:AD16,6,FALSE),"")</f>
        <v/>
      </c>
      <c r="AU7" s="76" t="str">
        <f>IF(Z17=2,VLOOKUP(2,Z3:AD16,5,FALSE),"")</f>
        <v/>
      </c>
      <c r="AV7" s="76" t="str">
        <f>IF(AA17=2,VLOOKUP(2,AA3:AD16,4,FALSE),"")</f>
        <v/>
      </c>
      <c r="AW7" s="76" t="str">
        <f>IF(AB17=2,VLOOKUP(2,AB3:AD16,3,FALSE),"")</f>
        <v/>
      </c>
      <c r="AX7" s="76" t="str">
        <f>IF(AC17=2,VLOOKUP(2,AC3:AD16,2,FALSE),"")</f>
        <v/>
      </c>
      <c r="AY7" s="7"/>
      <c r="BA7" s="28"/>
      <c r="BB7" s="6"/>
      <c r="BC7" s="6"/>
      <c r="BD7" s="6"/>
      <c r="BE7" s="6"/>
      <c r="BF7" s="7"/>
      <c r="CY7" s="443" t="s">
        <v>670</v>
      </c>
      <c r="CZ7" s="283" t="str">
        <f>IF(CZ6="","",IF(CZ6&lt;=0,0,CZ6))</f>
        <v/>
      </c>
      <c r="DA7" s="283" t="str">
        <f>IF(DA6="","",IF(DA6&lt;=0,0,DA6))</f>
        <v/>
      </c>
      <c r="DB7" s="283" t="str">
        <f>IF(DB6="","",IF(DB6&lt;=0,0,DB6))</f>
        <v/>
      </c>
      <c r="DC7" s="283" t="str">
        <f>IF(DC6="","",IF(DC6&lt;=0,0,DC6))</f>
        <v/>
      </c>
      <c r="DD7" s="284" t="str">
        <f>IF(DD6="","",IF(DD6&lt;=0,0,DD6))</f>
        <v/>
      </c>
      <c r="DJ7" s="443" t="s">
        <v>673</v>
      </c>
      <c r="DK7" s="283" t="str">
        <f>IF(DK6="","",IF(DK6&lt;=0,0,DK6))</f>
        <v/>
      </c>
      <c r="DL7" s="281" t="str">
        <f>IF(DL6="","",IF(DL6&lt;=0,0,DL6))</f>
        <v/>
      </c>
      <c r="DM7" s="281" t="str">
        <f>IF(DM6="","",IF(DM6&lt;=0,0,DM6))</f>
        <v/>
      </c>
      <c r="DN7" s="281" t="str">
        <f>IF(DN6="","",IF(DN6&lt;=0,0,DN6))</f>
        <v/>
      </c>
      <c r="DO7" s="282" t="str">
        <f>IF(DO6="","",IF(DO6&lt;=0,0,DO6))</f>
        <v/>
      </c>
    </row>
    <row r="8" spans="1:119" ht="13.5" thickBot="1" x14ac:dyDescent="0.25">
      <c r="A8" s="28" t="str">
        <f>'CT Worksheet'!B20</f>
        <v>Segment 3</v>
      </c>
      <c r="B8" s="6"/>
      <c r="C8" s="22" t="str">
        <f>IF(AND(plantflow="",HSflow=""),"",IF('CT Worksheet'!V20="Plant",plantflow,IF('CT Worksheet'!V20="High Service",HSflow,IF('CT Worksheet'!V20="Both",MAX('CT Worksheet'!C5:C6),""))))</f>
        <v/>
      </c>
      <c r="D8" s="22" t="str">
        <f>IF(OR('CT Worksheet'!S20="",'CT Worksheet'!U20=""),"",('CT Worksheet'!S20*'CT Worksheet'!U20))</f>
        <v/>
      </c>
      <c r="E8" s="293" t="str">
        <f>IF(AND('CT Worksheet'!U22="",OR(D8="",C8="",C8=0)),"",IF('CT Worksheet'!U22&lt;&gt;"",'CT Worksheet'!U22,D8/C8))</f>
        <v/>
      </c>
      <c r="F8" s="225" t="str">
        <f>IF(OR('CT Worksheet'!C21="",DR_3="",pH_3="",'CT Worksheet'!D21="",Time3=""),"",E8*'CT Worksheet'!C22)</f>
        <v/>
      </c>
      <c r="G8" s="293" t="str">
        <f>IF('CT Worksheet'!C21="","",IF('CT Worksheet'!D21="C",'CT Worksheet'!C21,IF('CT Worksheet'!D21="F",(('CT Worksheet'!C21-32)*5/9),"")))</f>
        <v/>
      </c>
      <c r="H8" s="231" t="str">
        <f>IF(F8="","",IF('CT Worksheet'!B22="Cl2 (free)",T59,IF('CT Worksheet'!B22="Chlorine Dioxide",BR61,IF('CT Worksheet'!B22="Ozone",CE61,IF('CT Worksheet'!B22="Chloramine",CR61,"")))))</f>
        <v/>
      </c>
      <c r="I8" s="227" t="str">
        <f>IF(F8=0,0,IF(OR(F8="",H8=""),"",F8/H8))</f>
        <v/>
      </c>
      <c r="J8" s="595" t="str">
        <f>IF(F8="","",IF('CT Worksheet'!B22="Cl2 (free)",BE61,IF('CT Worksheet'!B22="Chlorine Dioxide",BR66,IF('CT Worksheet'!B22="Ozone",CE66,IF('CT Worksheet'!B22="Chloramine",CR68,"")))))</f>
        <v/>
      </c>
      <c r="K8" s="596"/>
      <c r="L8" s="597" t="str">
        <f>IF(F8=0,0,IF(OR(F8="",J8=""),"",F8/J8))</f>
        <v/>
      </c>
      <c r="M8" s="598"/>
      <c r="N8" s="6"/>
      <c r="O8" s="576" t="str">
        <f>IF((F8=""),"",IF(AND(OR(('CT Worksheet'!B22="Cl2 (free)"),('CT Worksheet'!B22="Chloramine")),(logCryptoR&gt;0)),0,IF(('CT Worksheet'!B22="Chlorine Dioxide"),BR71,IF(('CT Worksheet'!B22="Ozone"),CE71,""))))</f>
        <v/>
      </c>
      <c r="P8" s="577"/>
      <c r="Q8" s="578" t="str">
        <f>IF(logCryptoR="","",IF(OR(F8=0,O8=0),0,IF(OR((F8=""),(O8="")),"",(F8/O8))))</f>
        <v/>
      </c>
      <c r="R8" s="579"/>
      <c r="S8" s="6"/>
      <c r="T8" s="576" t="str">
        <f>IF((F8=""),"",IF(AND(OR(('CT Worksheet'!B22="Chlorine Dioxide"),('CT Worksheet'!B22="Chloramine")),(MicrocystinR&gt;0)),0,IF(AND('CT Worksheet'!B22="Cl2 (free)",(MicrocystinR&gt;0)),DJ60,IF(AND('CT Worksheet'!B22="Ozone",(MicrocystinR&gt;0)),DN58,""))))</f>
        <v/>
      </c>
      <c r="U8" s="577"/>
      <c r="V8" s="578" t="str">
        <f>IF(MicrocystinR="","",IF(OR(F8=0,T8=0),0,IF(OR((F8=""),(T8="")),"",(F8/T8))))</f>
        <v/>
      </c>
      <c r="W8" s="579"/>
      <c r="Y8" s="28" t="str">
        <f>IF(OR(AF8="",AG8=""),"",IF(SUM(Y3:Y7)&gt;=2,0,IF(AF8=AG8,1,IF(AF8&lt;AG8,2,0))))</f>
        <v/>
      </c>
      <c r="Z8" s="6" t="str">
        <f>IF(OR(AH8="",AI8=""),"",IF(SUM(Z3:Z7)&gt;=2,0,IF(AH8=AI8,1,IF(AH8&lt;AI8,2,0))))</f>
        <v/>
      </c>
      <c r="AA8" s="6" t="str">
        <f>IF(OR(AJ8="",AK8=""),"",IF(SUM(AA3:AA7)&gt;=2,0,IF(AJ8=AK8,1,IF(AJ8&lt;AK8,2,0))))</f>
        <v/>
      </c>
      <c r="AB8" s="6" t="str">
        <f>IF(OR(AL8="",AM8=""),"",IF(SUM(AB3:AB7)&gt;=2,0,IF(AL8=AM8,1,IF(AL8&lt;AM8,2,0))))</f>
        <v/>
      </c>
      <c r="AC8" s="2" t="str">
        <f>IF(OR(AN8="",AO8=""),"",IF(SUM(AC3:AC7)&gt;=2,0,IF(AN8=AO8,1,IF(AN8&lt;AO8,2,0))))</f>
        <v/>
      </c>
      <c r="AD8" s="12">
        <v>6</v>
      </c>
      <c r="AE8" s="86">
        <v>1.4</v>
      </c>
      <c r="AF8" s="290" t="str">
        <f t="shared" si="0"/>
        <v/>
      </c>
      <c r="AG8" s="88" t="str">
        <f t="shared" si="8"/>
        <v/>
      </c>
      <c r="AH8" s="83" t="str">
        <f t="shared" si="1"/>
        <v/>
      </c>
      <c r="AI8" s="124" t="str">
        <f t="shared" si="9"/>
        <v/>
      </c>
      <c r="AJ8" s="83" t="str">
        <f t="shared" si="2"/>
        <v/>
      </c>
      <c r="AK8" s="124" t="str">
        <f t="shared" si="3"/>
        <v/>
      </c>
      <c r="AL8" s="83" t="str">
        <f t="shared" si="4"/>
        <v/>
      </c>
      <c r="AM8" s="124" t="str">
        <f t="shared" si="5"/>
        <v/>
      </c>
      <c r="AN8" s="83" t="str">
        <f t="shared" si="6"/>
        <v/>
      </c>
      <c r="AO8" s="88" t="str">
        <f t="shared" si="7"/>
        <v/>
      </c>
      <c r="AS8" s="12" t="s">
        <v>170</v>
      </c>
      <c r="AT8" s="76" t="str">
        <f>IF(Y3=2,"",IF(Y17=2,VLOOKUP(AT7,AD3:AF16,3,FALSE),""))</f>
        <v/>
      </c>
      <c r="AU8" s="76" t="str">
        <f>IF(Z3=2,"",IF(Z17=2,VLOOKUP(AU7,AD3:AH16,5,FALSE),""))</f>
        <v/>
      </c>
      <c r="AV8" s="76" t="str">
        <f>IF(AA3=2,"",IF(AA17=2,VLOOKUP(AV7,AD3:AJ16,7,FALSE),""))</f>
        <v/>
      </c>
      <c r="AW8" s="76" t="str">
        <f>IF(AB3=2,"",IF(AB17=2,VLOOKUP(AW7,AD3:AL16,9,FALSE),""))</f>
        <v/>
      </c>
      <c r="AX8" s="76" t="str">
        <f>IF(AC3=2,"",IF(AC17=2,VLOOKUP(AX7,AD3:AN16,11,FALSE),""))</f>
        <v/>
      </c>
      <c r="AY8" s="7"/>
      <c r="BA8" s="28"/>
      <c r="BB8" s="22" t="str">
        <f>IF(AND(DK7="",DL7="",DM7="",DN7="",DO7="",CZ7="",DA7="",DB7="",DC7="",DD7=""),"",ROUNDUP(MAX(DB7,DM7),2))</f>
        <v/>
      </c>
      <c r="BC8" s="22" t="str">
        <f>IF(AND(Calculations!AV11="",Calculations!AV16="",Calculations!BM5="",Calculations!BM10="",Calculations!BZ5="",Calculations!BZ10="",Calculations!CM5="",Calculations!CM10="",BM15,BZ15),"",ROUNDUP(MAX(Calculations!AV12,Calculations!AV16,Calculations!BM5,Calculations!BM10,Calculations!BZ5,Calculations!BZ10,Calculations!CM5,Calculations!CM10,BM15,BZ15),2))</f>
        <v/>
      </c>
      <c r="BD8" s="22" t="str">
        <f>IF(AND(Calculations!AV11="",Calculations!AV16="",Calculations!BM5="",Calculations!BM10="",Calculations!BZ5="",Calculations!BZ10="",Calculations!CM5="",Calculations!CM10=""),"",ROUNDUP(MAX(Calculations!AV12,Calculations!AV16,Calculations!BM5,Calculations!BM10,Calculations!BZ5,Calculations!BZ10,Calculations!CM5,Calculations!CM10),2))</f>
        <v/>
      </c>
      <c r="BE8" s="363" t="str">
        <f>IF(AND(BC8="",BD8="",BB8=""),"",IF(AND(logCryptoR="",MicrocystinR=""),BD8,IF(AND(logCryptoR&lt;&gt;"",MicrocystinR&lt;&gt;"",'CT Worksheet'!B22="Ozone"),MAX(BB8:BD8),IF(AND(logCryptoR&lt;&gt;"",MicrocystinR&lt;&gt;"",'CT Worksheet'!B22="Cl2 (Free)"),MAX(BB8,BD8),IF(AND(logCryptoR&lt;&gt;"",MicrocystinR&lt;&gt;"", 'CT Worksheet'!B22="Chlorine Dioxide"),MAX(BC8:BD8),IF(AND(logCryptoR&lt;&gt;"",MicrocystinR="",OR('CT Worksheet'!B22="Ozone",'CT Worksheet'!B22="Chlorine Dioxide")),MAX(BC8:BD8),MAX(BB8,BD8)))))))</f>
        <v/>
      </c>
      <c r="BF8" s="7"/>
      <c r="BJ8" s="618" t="s">
        <v>580</v>
      </c>
      <c r="BK8" s="562"/>
      <c r="BL8" s="562"/>
      <c r="BM8" s="562"/>
      <c r="BN8" s="562"/>
      <c r="BO8" s="563"/>
      <c r="BW8" s="618" t="s">
        <v>582</v>
      </c>
      <c r="BX8" s="562"/>
      <c r="BY8" s="562"/>
      <c r="BZ8" s="562"/>
      <c r="CA8" s="562"/>
      <c r="CB8" s="563"/>
      <c r="CJ8" s="618" t="s">
        <v>586</v>
      </c>
      <c r="CK8" s="562"/>
      <c r="CL8" s="562"/>
      <c r="CM8" s="562"/>
      <c r="CN8" s="562"/>
      <c r="CO8" s="563"/>
      <c r="CY8" s="29"/>
      <c r="CZ8" s="159" t="s">
        <v>1</v>
      </c>
      <c r="DA8" s="159" t="s">
        <v>1</v>
      </c>
      <c r="DB8" s="159" t="s">
        <v>1</v>
      </c>
      <c r="DC8" s="159" t="s">
        <v>1</v>
      </c>
      <c r="DD8" s="185" t="s">
        <v>1</v>
      </c>
      <c r="DJ8" s="29"/>
      <c r="DK8" s="159" t="s">
        <v>1</v>
      </c>
      <c r="DL8" s="159" t="s">
        <v>1</v>
      </c>
      <c r="DM8" s="159" t="s">
        <v>1</v>
      </c>
      <c r="DN8" s="159" t="s">
        <v>1</v>
      </c>
      <c r="DO8" s="185" t="s">
        <v>1</v>
      </c>
    </row>
    <row r="9" spans="1:119" ht="13.5" thickBot="1" x14ac:dyDescent="0.25">
      <c r="A9" s="28"/>
      <c r="B9" s="6"/>
      <c r="C9" s="22"/>
      <c r="D9" s="22"/>
      <c r="E9" s="22"/>
      <c r="F9" s="22"/>
      <c r="G9" s="22"/>
      <c r="H9" s="22"/>
      <c r="I9" s="24"/>
      <c r="J9" s="586"/>
      <c r="K9" s="586"/>
      <c r="L9" s="586"/>
      <c r="M9" s="586"/>
      <c r="N9" s="6"/>
      <c r="O9" s="577"/>
      <c r="P9" s="577"/>
      <c r="Q9" s="581"/>
      <c r="R9" s="581"/>
      <c r="S9" s="6"/>
      <c r="T9" s="580"/>
      <c r="U9" s="580"/>
      <c r="V9" s="581"/>
      <c r="W9" s="581"/>
      <c r="Y9" s="28" t="str">
        <f>IF(OR(AF9="",AG9=""),"",IF(SUM(Y3:Y8)&gt;=2,0,IF(AF9=AG9,1,IF(AF9&lt;AG9,2,0))))</f>
        <v/>
      </c>
      <c r="Z9" s="6" t="str">
        <f>IF(OR(AH9="",AI9=""),"",IF(SUM(Z3:Z8)&gt;=2,0,IF(AH9=AI9,1,IF(AH9&lt;AI9,2,0))))</f>
        <v/>
      </c>
      <c r="AA9" s="6" t="str">
        <f>IF(OR(AJ9="",AK9=""),"",IF(SUM(AA3:AA8)&gt;=2,0,IF(AJ9=AK9,1,IF(AJ9&lt;AK9,2,0))))</f>
        <v/>
      </c>
      <c r="AB9" s="6" t="str">
        <f>IF(OR(AL9="",AM9=""),"",IF(SUM(AB3:AB8)&gt;=2,0,IF(AL9=AM9,1,IF(AL9&lt;AM9,2,0))))</f>
        <v/>
      </c>
      <c r="AC9" s="2" t="str">
        <f>IF(OR(AN9="",AO9=""),"",IF(SUM(AC3:AC8)&gt;=2,0,IF(AN9=AO9,1,IF(AN9&lt;AO9,2,0))))</f>
        <v/>
      </c>
      <c r="AD9" s="12">
        <v>7</v>
      </c>
      <c r="AE9" s="86">
        <v>1.6</v>
      </c>
      <c r="AF9" s="290" t="str">
        <f t="shared" si="0"/>
        <v/>
      </c>
      <c r="AG9" s="88" t="str">
        <f t="shared" si="8"/>
        <v/>
      </c>
      <c r="AH9" s="83" t="str">
        <f t="shared" si="1"/>
        <v/>
      </c>
      <c r="AI9" s="124" t="str">
        <f t="shared" si="9"/>
        <v/>
      </c>
      <c r="AJ9" s="83" t="str">
        <f t="shared" si="2"/>
        <v/>
      </c>
      <c r="AK9" s="124" t="str">
        <f t="shared" si="3"/>
        <v/>
      </c>
      <c r="AL9" s="83" t="str">
        <f t="shared" si="4"/>
        <v/>
      </c>
      <c r="AM9" s="124" t="str">
        <f t="shared" si="5"/>
        <v/>
      </c>
      <c r="AN9" s="83" t="str">
        <f t="shared" si="6"/>
        <v/>
      </c>
      <c r="AO9" s="88" t="str">
        <f t="shared" si="7"/>
        <v/>
      </c>
      <c r="AS9" s="12" t="s">
        <v>171</v>
      </c>
      <c r="AT9" s="76" t="str">
        <f>IF(Y3=2,"",IF(Y17=2,VLOOKUP(AT7-1,AD3:AF16,3,FALSE),""))</f>
        <v/>
      </c>
      <c r="AU9" s="76" t="str">
        <f>IF(Z3=2,"",IF(Z17=2,VLOOKUP(AU7-1,AD3:AH16,5,FALSE),""))</f>
        <v/>
      </c>
      <c r="AV9" s="76" t="str">
        <f>IF(AA3=2,"",IF(AA17=2,VLOOKUP(AV7-1,AD3:AJ16,7,FALSE),""))</f>
        <v/>
      </c>
      <c r="AW9" s="76" t="str">
        <f>IF(AB3=2,"",IF(AB17=2,VLOOKUP(AW7-1,AD3:AL16,9,FALSE),""))</f>
        <v/>
      </c>
      <c r="AX9" s="76" t="str">
        <f>IF(AC3=2,"",IF(AC17=2,VLOOKUP(AX7-1,AD3:AN16,11,FALSE),""))</f>
        <v/>
      </c>
      <c r="AY9" s="7"/>
      <c r="BA9" s="28"/>
      <c r="BB9" s="6"/>
      <c r="BC9" s="6"/>
      <c r="BD9" s="6"/>
      <c r="BE9" s="6"/>
      <c r="BF9" s="7"/>
      <c r="BJ9" s="277" t="s">
        <v>583</v>
      </c>
      <c r="BK9" s="285" t="str">
        <f>IF(BR30="","",BR30*(1-SUM(CTva2,CTva3,CTva4,CTva5))/Time1)</f>
        <v/>
      </c>
      <c r="BL9" s="285" t="str">
        <f>IF(BR48="","",BR48*(1-SUM(CTva1,CTva3,CTva4,CTva5))/Time2)</f>
        <v/>
      </c>
      <c r="BM9" s="285" t="str">
        <f>IF(BR66="","",BR66*(1-SUM(CTva2,CTva1,CTva4,CTva5))/Time3)</f>
        <v/>
      </c>
      <c r="BN9" s="285" t="str">
        <f>IF(BR84="","",BR84*(1-SUM(CTva2,CTva3,CTva1,CTva5))/Time4)</f>
        <v/>
      </c>
      <c r="BO9" s="286" t="str">
        <f>IF(BR102="","",BR102*(1-SUM(CTva2,CTva3,CTva4,CTva1))/Time5)</f>
        <v/>
      </c>
      <c r="BW9" s="277" t="s">
        <v>584</v>
      </c>
      <c r="BX9" s="285" t="str">
        <f>IF(CE30="","",CE30*(1-SUM(CTva2,CTva3,CTva4,CTva5))/Time1)</f>
        <v/>
      </c>
      <c r="BY9" s="285" t="str">
        <f>IF(CE48="","",CE48*(1-SUM(CTva1,CTva3,CTva4,CTva5))/Time2)</f>
        <v/>
      </c>
      <c r="BZ9" s="285" t="str">
        <f>IF(CE66="","",CE66*(1-SUM(CTva2,CTva1,CTva4,CTva5))/Time3)</f>
        <v/>
      </c>
      <c r="CA9" s="285" t="str">
        <f>IF(CE84="","",CE84*(1-SUM(CTva2,CTva3,CTva1,CTva5))/Time4)</f>
        <v/>
      </c>
      <c r="CB9" s="286" t="str">
        <f>IF(CE102="","",CE102*(1-SUM(CTva2,CTva3,CTva4,CTva1))/Time5)</f>
        <v/>
      </c>
      <c r="CJ9" s="277" t="s">
        <v>589</v>
      </c>
      <c r="CK9" s="285" t="str">
        <f>IF(CR32="","",CR32*(1-SUM(CTva2,CTva3,CTva4,CTva5))/Time1)</f>
        <v/>
      </c>
      <c r="CL9" s="285" t="str">
        <f>IF(CR50="","",CR50*(1-SUM(CTva1,CTva3,CTva4,CTva5))/Time2)</f>
        <v/>
      </c>
      <c r="CM9" s="285" t="str">
        <f>IF(CR68="","",CR68*(1-SUM(CTva2,CTva1,CTva4,CTva5))/Time3)</f>
        <v/>
      </c>
      <c r="CN9" s="285" t="str">
        <f>IF(CR86="","",CR86*(1-SUM(CTva2,CTva3,CTva1,CTva5))/Time4)</f>
        <v/>
      </c>
      <c r="CO9" s="286" t="str">
        <f>IF(CR104="","",CR104*(1-SUM(CTva2,CTva3,CTva4,CTva1))/Time5)</f>
        <v/>
      </c>
    </row>
    <row r="10" spans="1:119" ht="13.5" thickBot="1" x14ac:dyDescent="0.25">
      <c r="A10" s="28" t="str">
        <f>'CT Worksheet'!B25</f>
        <v>Segment 4</v>
      </c>
      <c r="B10" s="6"/>
      <c r="C10" s="22" t="str">
        <f>IF(AND(plantflow="",HSflow=""),"",IF('CT Worksheet'!V25="Plant",plantflow,IF('CT Worksheet'!V25="High Service",HSflow,IF('CT Worksheet'!V25="Both",MAX('CT Worksheet'!C5:C6),""))))</f>
        <v/>
      </c>
      <c r="D10" s="22" t="str">
        <f>IF(OR('CT Worksheet'!S25="",'CT Worksheet'!U25=""),"",('CT Worksheet'!S25*'CT Worksheet'!U25))</f>
        <v/>
      </c>
      <c r="E10" s="293" t="str">
        <f>IF(AND('CT Worksheet'!U27="",OR(D10="",C10="",C10=0)),"",IF('CT Worksheet'!U27&lt;&gt;"",'CT Worksheet'!U27,D10/C10))</f>
        <v/>
      </c>
      <c r="F10" s="225" t="str">
        <f>IF(OR('CT Worksheet'!C26="",DR_4="",pH_4="",'CT Worksheet'!D26="",Time4=""),"",E10*'CT Worksheet'!C27)</f>
        <v/>
      </c>
      <c r="G10" s="293" t="str">
        <f>IF('CT Worksheet'!C26="","",IF('CT Worksheet'!D26="C",'CT Worksheet'!C26,IF('CT Worksheet'!D26="F",(('CT Worksheet'!C26-32)*5/9),"")))</f>
        <v/>
      </c>
      <c r="H10" s="231" t="str">
        <f>IF(F10="","",IF('CT Worksheet'!B27="Cl2 (free)",T77,IF('CT Worksheet'!B27="Chlorine Dioxide",BR79,IF('CT Worksheet'!B27="Ozone",CE79,IF('CT Worksheet'!B27="Chloramine",CR79,"")))))</f>
        <v/>
      </c>
      <c r="I10" s="226" t="str">
        <f>IF(F10=0,0,IF(OR(F10="",H10=""),"",F10/H10))</f>
        <v/>
      </c>
      <c r="J10" s="595" t="str">
        <f>IF(F10="","",IF('CT Worksheet'!B27="Cl2 (free)",BE79,IF('CT Worksheet'!B27="Chlorine Dioxide",BR84,IF('CT Worksheet'!B27="Ozone",CE84,IF('CT Worksheet'!B27="Chloramine",CR86,"")))))</f>
        <v/>
      </c>
      <c r="K10" s="596"/>
      <c r="L10" s="597" t="str">
        <f>IF(F10=0,0,IF(OR(F10="",J10=""),"",F10/J10))</f>
        <v/>
      </c>
      <c r="M10" s="598"/>
      <c r="N10" s="6"/>
      <c r="O10" s="576" t="str">
        <f>IF((F10=""),"",IF(AND(OR(('CT Worksheet'!B27="Cl2 (free)"),('CT Worksheet'!B27="Chloramine")),(logCryptoR&gt;0)),0,IF(('CT Worksheet'!B27="Chlorine Dioxide"),BR89,IF(('CT Worksheet'!B27="Ozone"),CE89,""))))</f>
        <v/>
      </c>
      <c r="P10" s="577"/>
      <c r="Q10" s="578" t="str">
        <f>IF(logCryptoR="","",IF(OR(F10=0,O10=0),0,IF(OR((F10=""),(O10="")),"",(F10/O10))))</f>
        <v/>
      </c>
      <c r="R10" s="579"/>
      <c r="S10" s="6"/>
      <c r="T10" s="576" t="str">
        <f>IF((F10=""),"",IF(AND(OR(('CT Worksheet'!B27="Chlorine Dioxide"),('CT Worksheet'!B27="Chloramine")),(MicrocystinR&gt;0)),0,IF(AND('CT Worksheet'!B27="Cl2 (free)",(MicrocystinR&gt;0)),DJ78,IF(AND('CT Worksheet'!B27="Ozone",(MicrocystinR&gt;0)),DN76,""))))</f>
        <v/>
      </c>
      <c r="U10" s="577"/>
      <c r="V10" s="578" t="str">
        <f>IF(MicrocystinR="","",IF(OR(F10=0,T10=0),0,IF(OR((F10=""),(T10="")),"",(F10/T10))))</f>
        <v/>
      </c>
      <c r="W10" s="579"/>
      <c r="Y10" s="28" t="str">
        <f>IF(OR(AF10="",AG10=""),"",IF(SUM(Y3:Y9)&gt;=2,0,IF(AF10=AG10,1,IF(AF10&lt;AG10,2,0))))</f>
        <v/>
      </c>
      <c r="Z10" s="6" t="str">
        <f>IF(OR(AH10="",AI10=""),"",IF(SUM(Z3:Z9)&gt;=2,0,IF(AH10=AI10,1,IF(AH10&lt;AI10,2,0))))</f>
        <v/>
      </c>
      <c r="AA10" s="6" t="str">
        <f>IF(OR(AJ10="",AK10=""),"",IF(SUM(AA3:AA9)&gt;=2,0,IF(AJ10=AK10,1,IF(AJ10&lt;AK10,2,0))))</f>
        <v/>
      </c>
      <c r="AB10" s="6" t="str">
        <f>IF(OR(AL10="",AM10=""),"",IF(SUM(AB3:AB9)&gt;=2,0,IF(AL10=AM10,1,IF(AL10&lt;AM10,2,0))))</f>
        <v/>
      </c>
      <c r="AC10" s="2" t="str">
        <f>IF(OR(AN10="",AO10=""),"",IF(SUM(AC3:AC9)&gt;=2,0,IF(AN10=AO10,1,IF(AN10&lt;AO10,2,0))))</f>
        <v/>
      </c>
      <c r="AD10" s="12">
        <v>8</v>
      </c>
      <c r="AE10" s="86">
        <v>1.8</v>
      </c>
      <c r="AF10" s="290" t="str">
        <f t="shared" si="0"/>
        <v/>
      </c>
      <c r="AG10" s="88" t="str">
        <f t="shared" si="8"/>
        <v/>
      </c>
      <c r="AH10" s="83" t="str">
        <f t="shared" si="1"/>
        <v/>
      </c>
      <c r="AI10" s="124" t="str">
        <f t="shared" si="9"/>
        <v/>
      </c>
      <c r="AJ10" s="83" t="str">
        <f t="shared" si="2"/>
        <v/>
      </c>
      <c r="AK10" s="124" t="str">
        <f t="shared" si="3"/>
        <v/>
      </c>
      <c r="AL10" s="83" t="str">
        <f t="shared" si="4"/>
        <v/>
      </c>
      <c r="AM10" s="124" t="str">
        <f t="shared" si="5"/>
        <v/>
      </c>
      <c r="AN10" s="83" t="str">
        <f t="shared" si="6"/>
        <v/>
      </c>
      <c r="AO10" s="88" t="str">
        <f t="shared" si="7"/>
        <v/>
      </c>
      <c r="AS10" s="397" t="s">
        <v>577</v>
      </c>
      <c r="AT10" s="395"/>
      <c r="AU10" s="395"/>
      <c r="AV10" s="395"/>
      <c r="AW10" s="395"/>
      <c r="AX10" s="396"/>
      <c r="AY10" s="7"/>
      <c r="BA10" s="28"/>
      <c r="BB10" s="22" t="str">
        <f>IF(AND(DK7="",DL7="",DM7="",DN7="",DO7="",CZ7="",DA7="",DB7="",DC7="",DD7=""),"",ROUNDUP(MAX(DC7,DN7),2))</f>
        <v/>
      </c>
      <c r="BC10" s="22" t="str">
        <f>IF(AND(Calculations!AW11="",Calculations!AW16="",Calculations!BN5="",Calculations!BN10="",Calculations!CA5="",Calculations!CA10="",Calculations!CN5="",Calculations!CN10="",BN15,CA15),"",ROUNDUP(MAX(Calculations!AW12,Calculations!AW16,Calculations!BN5,Calculations!BN10,Calculations!CA5,Calculations!CA10,Calculations!CN5,Calculations!CN10,BN15,CA15),2))</f>
        <v/>
      </c>
      <c r="BD10" s="22" t="str">
        <f>IF(AND(Calculations!AW11="",Calculations!AW16="",Calculations!BN5="",Calculations!BN10="",Calculations!CA5="",Calculations!CA10="",Calculations!CN5="",Calculations!CN10=""),"",ROUNDUP(MAX(Calculations!AW12,Calculations!AW16,Calculations!BN5,Calculations!BN10,Calculations!CA5,Calculations!CA10,Calculations!CN5,Calculations!CN10),2))</f>
        <v/>
      </c>
      <c r="BE10" s="363" t="str">
        <f>IF(AND(BC10="",BD10="",BB10=""),"",IF(AND(logCryptoR="",MicrocystinR=""),BD10,IF(AND(logCryptoR&lt;&gt;"",MicrocystinR&lt;&gt;"",'CT Worksheet'!B27="Ozone"),MAX(BB10:BD10),IF(AND(logCryptoR&lt;&gt;"",MicrocystinR&lt;&gt;"",'CT Worksheet'!B27="Cl2 (Free)"),MAX(BB10,BD10),IF(AND(logCryptoR&lt;&gt;"",MicrocystinR&lt;&gt;"", 'CT Worksheet'!B27="Chlorine Dioxide"),MAX(BC10:BD10),IF(AND(logCryptoR&lt;&gt;"",MicrocystinR="",OR('CT Worksheet'!B27="Ozone",'CT Worksheet'!B27="Chlorine Dioxide")),MAX(BC10:BD10),MAX(BB10,BD10)))))))</f>
        <v/>
      </c>
      <c r="BF10" s="7"/>
      <c r="BJ10" s="28" t="s">
        <v>500</v>
      </c>
      <c r="BK10" s="283" t="str">
        <f>IF(BK9="","",IF(BK9&lt;=0,0,BK9))</f>
        <v/>
      </c>
      <c r="BL10" s="283" t="str">
        <f>IF(BL9="","",IF(BL9&lt;=0,0,BL9))</f>
        <v/>
      </c>
      <c r="BM10" s="283" t="str">
        <f>IF(BM9="","",IF(BM9&lt;=0,0,BM9))</f>
        <v/>
      </c>
      <c r="BN10" s="283" t="str">
        <f>IF(BN9="","",IF(BN9&lt;=0,0,BN9))</f>
        <v/>
      </c>
      <c r="BO10" s="284" t="str">
        <f>IF(BO9="","",IF(BO9&lt;=0,0,BO9))</f>
        <v/>
      </c>
      <c r="BW10" s="28" t="s">
        <v>502</v>
      </c>
      <c r="BX10" s="283" t="str">
        <f>IF(BX9="","",IF(BX9&lt;=0,0,BX9))</f>
        <v/>
      </c>
      <c r="BY10" s="281" t="str">
        <f>IF(BY9="","",IF(BY9&lt;=0,0,BY9))</f>
        <v/>
      </c>
      <c r="BZ10" s="281" t="str">
        <f>IF(BZ9="","",IF(BZ9&lt;=0,0,BZ9))</f>
        <v/>
      </c>
      <c r="CA10" s="281" t="str">
        <f>IF(CA9="","",IF(CA9&lt;=0,0,CA9))</f>
        <v/>
      </c>
      <c r="CB10" s="282" t="str">
        <f>IF(CB9="","",IF(CB9&lt;=0,0,CB9))</f>
        <v/>
      </c>
      <c r="CJ10" s="28" t="s">
        <v>588</v>
      </c>
      <c r="CK10" s="281" t="str">
        <f>IF(CK9="","",IF(CK9&lt;=0,0,CK9))</f>
        <v/>
      </c>
      <c r="CL10" s="281" t="str">
        <f>IF(CL9="","",IF(CL9&lt;=0,0,CL9))</f>
        <v/>
      </c>
      <c r="CM10" s="281" t="str">
        <f>IF(CM9="","",IF(CM9&lt;=0,0,CM9))</f>
        <v/>
      </c>
      <c r="CN10" s="281" t="str">
        <f>IF(CN9="","",IF(CN9&lt;=0,0,CN9))</f>
        <v/>
      </c>
      <c r="CO10" s="282" t="str">
        <f>IF(CO9="","",IF(CO9&lt;=0,0,CO9))</f>
        <v/>
      </c>
    </row>
    <row r="11" spans="1:119" ht="13.5" thickBot="1" x14ac:dyDescent="0.25">
      <c r="A11" s="28"/>
      <c r="B11" s="6"/>
      <c r="C11" s="22"/>
      <c r="D11" s="22"/>
      <c r="E11" s="22"/>
      <c r="F11" s="22"/>
      <c r="G11" s="22"/>
      <c r="H11" s="22"/>
      <c r="I11" s="24"/>
      <c r="J11" s="594"/>
      <c r="K11" s="594"/>
      <c r="L11" s="594"/>
      <c r="M11" s="594"/>
      <c r="N11" s="6"/>
      <c r="O11" s="623"/>
      <c r="P11" s="623"/>
      <c r="Q11" s="624"/>
      <c r="R11" s="624"/>
      <c r="S11" s="6"/>
      <c r="T11" s="580"/>
      <c r="U11" s="580"/>
      <c r="V11" s="581"/>
      <c r="W11" s="581"/>
      <c r="Y11" s="28" t="str">
        <f>IF(OR(AF11="",AG11=""),"",IF(SUM(Y3:Y10)&gt;=2,0,IF(AF11=AG11,1,IF(AF11&lt;AG11,2,0))))</f>
        <v/>
      </c>
      <c r="Z11" s="6" t="str">
        <f>IF(OR(AH11="",AI11=""),"",IF(SUM(Z3:Z10)&gt;=2,0,IF(AH11=AI11,1,IF(AH11&lt;AI11,2,0))))</f>
        <v/>
      </c>
      <c r="AA11" s="6" t="str">
        <f>IF(OR(AJ11="",AK11=""),"",IF(SUM(AA3:AA10)&gt;=2,0,IF(AJ11=AK11,1,IF(AJ11&lt;AK11,2,0))))</f>
        <v/>
      </c>
      <c r="AB11" s="6" t="str">
        <f>IF(OR(AL11="",AM11=""),"",IF(SUM(AB3:AB10)&gt;=2,0,IF(AL11=AM11,1,IF(AL11&lt;AM11,2,0))))</f>
        <v/>
      </c>
      <c r="AC11" s="2" t="str">
        <f>IF(OR(AN11="",AO11=""),"",IF(SUM(AC3:AC10)&gt;=2,0,IF(AN11=AO11,1,IF(AN11&lt;AO11,2,0))))</f>
        <v/>
      </c>
      <c r="AD11" s="12">
        <v>9</v>
      </c>
      <c r="AE11" s="86">
        <v>2</v>
      </c>
      <c r="AF11" s="290" t="str">
        <f t="shared" si="0"/>
        <v/>
      </c>
      <c r="AG11" s="88" t="str">
        <f t="shared" si="8"/>
        <v/>
      </c>
      <c r="AH11" s="83" t="str">
        <f t="shared" si="1"/>
        <v/>
      </c>
      <c r="AI11" s="124" t="str">
        <f t="shared" si="9"/>
        <v/>
      </c>
      <c r="AJ11" s="83" t="str">
        <f t="shared" si="2"/>
        <v/>
      </c>
      <c r="AK11" s="124" t="str">
        <f t="shared" si="3"/>
        <v/>
      </c>
      <c r="AL11" s="83" t="str">
        <f t="shared" si="4"/>
        <v/>
      </c>
      <c r="AM11" s="124" t="str">
        <f t="shared" si="5"/>
        <v/>
      </c>
      <c r="AN11" s="83" t="str">
        <f t="shared" si="6"/>
        <v/>
      </c>
      <c r="AO11" s="88" t="str">
        <f t="shared" si="7"/>
        <v/>
      </c>
      <c r="AS11" s="277" t="s">
        <v>578</v>
      </c>
      <c r="AT11" s="285" t="str">
        <f>IF(AND(AT3="",AT4="",AT5=""),"",IF(AT3&lt;&gt;"",AT3,IF(Y3=2,AT4,IF(ROUND(AT9,1)=ROUND(AT5*Time1,1),AT5,IF(AVERAGE(AT4:AT5)*Time1&gt;=AVERAGE(AT8:AT9),AVERAGE(AT4:AT5),AT4)))))</f>
        <v/>
      </c>
      <c r="AU11" s="285" t="str">
        <f>IF(AND(AU3="",AU4="",AU5=""),"",IF(AU3&lt;&gt;"",AU3,IF(Z3=2,AU4,IF(ROUND(AU9,1)=ROUND(AU5*Time2,1),AU5,IF(AVERAGE(AU4:AU5)*Time2&gt;=AVERAGE(AU8:AU9),AVERAGE(AU4:AU5),AU4)))))</f>
        <v/>
      </c>
      <c r="AV11" s="285" t="str">
        <f>IF(AND(AV3="",AV4="",AV5=""),"",IF(AV3&lt;&gt;"",AV3,IF(AA3=2,AV4,IF(ROUND(AV9,1)=ROUND(AV5*Time3,1),AV5,IF(AVERAGE(AV4:AV5)*Time3&gt;=AVERAGE(AV8:AV9),AVERAGE(AV4:AV5),AV4)))))</f>
        <v/>
      </c>
      <c r="AW11" s="285" t="str">
        <f>IF(AND(AW3="",AW4="",AW5=""),"",IF(AW3&lt;&gt;"",AW3,IF(AB3=2,AW4,IF(ROUND(AW9,1)=ROUND(AW5*Time4,1),AW5,IF(AVERAGE(AW4:AW5)*Time4&gt;=AVERAGE(AW8:AW9),AVERAGE(AW4:AW5),AW4)))))</f>
        <v/>
      </c>
      <c r="AX11" s="295" t="str">
        <f>IF(AND(AX3="",AX4="",AX5=""),"",IF(AX3&lt;&gt;"",AX3,IF(AC3=2,AX4,IF(ROUND(AX9,1)=ROUND(AX5*Time5,1),AX5,IF(AVERAGE(AX4:AX5)*Time5&gt;=AVERAGE(AX8:AX9),AVERAGE(AX4:AX5),AX4)))))</f>
        <v/>
      </c>
      <c r="AY11" s="7"/>
      <c r="BA11" s="28"/>
      <c r="BB11" s="6"/>
      <c r="BC11" s="6"/>
      <c r="BD11" s="6"/>
      <c r="BE11" s="6"/>
      <c r="BF11" s="7"/>
      <c r="BJ11" s="29"/>
      <c r="BK11" s="159" t="s">
        <v>1</v>
      </c>
      <c r="BL11" s="159" t="s">
        <v>1</v>
      </c>
      <c r="BM11" s="159" t="s">
        <v>1</v>
      </c>
      <c r="BN11" s="159" t="s">
        <v>1</v>
      </c>
      <c r="BO11" s="185" t="s">
        <v>1</v>
      </c>
      <c r="BW11" s="29"/>
      <c r="BX11" s="159" t="s">
        <v>1</v>
      </c>
      <c r="BY11" s="159" t="s">
        <v>1</v>
      </c>
      <c r="BZ11" s="159" t="s">
        <v>1</v>
      </c>
      <c r="CA11" s="159" t="s">
        <v>1</v>
      </c>
      <c r="CB11" s="185" t="s">
        <v>1</v>
      </c>
      <c r="CJ11" s="29"/>
      <c r="CK11" s="159" t="s">
        <v>1</v>
      </c>
      <c r="CL11" s="159" t="s">
        <v>1</v>
      </c>
      <c r="CM11" s="159" t="s">
        <v>1</v>
      </c>
      <c r="CN11" s="159" t="s">
        <v>1</v>
      </c>
      <c r="CO11" s="185" t="s">
        <v>1</v>
      </c>
    </row>
    <row r="12" spans="1:119" ht="13.5" thickBot="1" x14ac:dyDescent="0.25">
      <c r="A12" s="28" t="str">
        <f>'CT Worksheet'!B30</f>
        <v>Pipeline</v>
      </c>
      <c r="B12" s="6"/>
      <c r="C12" s="22" t="str">
        <f>IF(AND(plantflow="",HSflow=""),"",IF('CT Worksheet'!V31="Plant",plantflow,IF('CT Worksheet'!V31="High Service",HSflow,IF('CT Worksheet'!V31="Both",MAX('CT Worksheet'!C5:C6),""))))</f>
        <v/>
      </c>
      <c r="D12" s="293" t="str">
        <f>IF(OR('CT Worksheet'!S31="",AND('CT Worksheet'!C31="",OR('CT Worksheet'!T31="in.",'CT Worksheet'!T31="gal/ft")),'CT Worksheet'!U31=""),"",IF('CT Worksheet'!S30="Diameter",(PI()*'CT Worksheet'!S31*'CT Worksheet'!S31*'CT Worksheet'!C31*'CT Worksheet'!U31*7.481/(144*4)),IF('CT Worksheet'!S30="Volume",('CT Worksheet'!S31*'CT Worksheet'!U31),('CT Worksheet'!S31*'CT Worksheet'!U31*'CT Worksheet'!C31))))</f>
        <v/>
      </c>
      <c r="E12" s="293" t="str">
        <f>IF(AND('CT Worksheet'!U33="",'CT Worksheet'!U34="",OR(D12="",C12="",C12=0)),"",IF(AND('CT Worksheet'!U33&lt;&gt;"",'CT Worksheet'!U34=""),'CT Worksheet'!U33*'CT Worksheet'!C31,IF('CT Worksheet'!U34&lt;&gt;"",'CT Worksheet'!U34,D12/C12)))</f>
        <v/>
      </c>
      <c r="F12" s="225" t="str">
        <f>IF(OR('CT Worksheet'!C32="",DR_5="",pH_5="",'CT Worksheet'!D32="",Time5="",Time5=0),"",E12*'CT Worksheet'!C33)</f>
        <v/>
      </c>
      <c r="G12" s="293" t="str">
        <f>IF('CT Worksheet'!C32="","",IF('CT Worksheet'!D32="C",'CT Worksheet'!C32,IF('CT Worksheet'!D32="F",(('CT Worksheet'!C32-32)*5/9),"")))</f>
        <v/>
      </c>
      <c r="H12" s="231" t="str">
        <f>IF(F12="","",IF('CT Worksheet'!B33="Cl2 (free)",T95,IF('CT Worksheet'!B33="Chlorine Dioxide",BR97,IF('CT Worksheet'!B33="Ozone",CE97,IF('CT Worksheet'!B33="Chloramine",CR97,"")))))</f>
        <v/>
      </c>
      <c r="I12" s="226" t="str">
        <f>IF(F12=0,0,IF(OR(F12="",H12=""),"",F12/H12))</f>
        <v/>
      </c>
      <c r="J12" s="595" t="str">
        <f>IF(F12="","",IF('CT Worksheet'!B33="Cl2 (free)",BE97,IF('CT Worksheet'!B33="Chlorine Dioxide",BR102,IF('CT Worksheet'!B33="Ozone",CE102,IF('CT Worksheet'!B33="Chloramine",CR104,"")))))</f>
        <v/>
      </c>
      <c r="K12" s="596"/>
      <c r="L12" s="597" t="str">
        <f>IF(F12=0,0,IF(OR(F12="",J12=""),"",F12/J12))</f>
        <v/>
      </c>
      <c r="M12" s="598"/>
      <c r="N12" s="6"/>
      <c r="O12" s="576" t="str">
        <f>IF((F12=""),"",IF(AND(OR(('CT Worksheet'!B33="Cl2 (free)"),('CT Worksheet'!B33="Chloramine")),(logCryptoR&gt;0)),0,IF(('CT Worksheet'!B33="Chlorine Dioxide"),BR107,IF(('CT Worksheet'!B33="Ozone"),CE107,""))))</f>
        <v/>
      </c>
      <c r="P12" s="577"/>
      <c r="Q12" s="578" t="str">
        <f>IF(logCryptoR="","",IF(OR(F12=0,O12=0),0,IF(OR((F12=""),(O12="")),"",(F12/O12))))</f>
        <v/>
      </c>
      <c r="R12" s="579"/>
      <c r="S12" s="6"/>
      <c r="T12" s="576" t="str">
        <f>IF((F12=""),"",IF(AND(OR(('CT Worksheet'!B33="Chlorine Dioxide"),('CT Worksheet'!B33="Chloramine")),(MicrocystinR&gt;0)),0,IF(AND('CT Worksheet'!B33="Cl2 (free)",(MicrocystinR&gt;0)),DJ96,IF(AND('CT Worksheet'!B33="Ozone",(MicrocystinR&gt;0)),DN94,""))))</f>
        <v/>
      </c>
      <c r="U12" s="577"/>
      <c r="V12" s="578" t="str">
        <f>IF(MicrocystinR="","",IF(OR(F12=0,T12=0),0,IF(OR((F12=""),(T12="")),"",(F12/T12))))</f>
        <v/>
      </c>
      <c r="W12" s="579"/>
      <c r="Y12" s="28" t="str">
        <f>IF(OR(AF12="",AG12=""),"",IF(SUM(Y3:Y11)&gt;=2,0,IF(AF12=AG12,1,IF(AF12&lt;AG12,2,0))))</f>
        <v/>
      </c>
      <c r="Z12" s="6" t="str">
        <f>IF(OR(AH12="",AI12=""),"",IF(SUM(Z3:Z11)&gt;=2,0,IF(AH12=AI12,1,IF(AH12&lt;AI12,2,0))))</f>
        <v/>
      </c>
      <c r="AA12" s="6" t="str">
        <f>IF(OR(AJ12="",AK12=""),"",IF(SUM(AA3:AA11)&gt;=2,0,IF(AJ12=AK12,1,IF(AJ12&lt;AK12,2,0))))</f>
        <v/>
      </c>
      <c r="AB12" s="6" t="str">
        <f>IF(OR(AL12="",AM12=""),"",IF(SUM(AB3:AB11)&gt;=2,0,IF(AL12=AM12,1,IF(AL12&lt;AM12,2,0))))</f>
        <v/>
      </c>
      <c r="AC12" s="2" t="str">
        <f>IF(OR(AN12="",AO12=""),"",IF(SUM(AC3:AC11)&gt;=2,0,IF(AN12=AO12,1,IF(AN12&lt;AO12,2,0))))</f>
        <v/>
      </c>
      <c r="AD12" s="12">
        <v>10</v>
      </c>
      <c r="AE12" s="86">
        <v>2.2000000000000002</v>
      </c>
      <c r="AF12" s="290" t="str">
        <f t="shared" si="0"/>
        <v/>
      </c>
      <c r="AG12" s="88" t="str">
        <f t="shared" si="8"/>
        <v/>
      </c>
      <c r="AH12" s="83" t="str">
        <f t="shared" si="1"/>
        <v/>
      </c>
      <c r="AI12" s="124" t="str">
        <f t="shared" si="9"/>
        <v/>
      </c>
      <c r="AJ12" s="83" t="str">
        <f t="shared" si="2"/>
        <v/>
      </c>
      <c r="AK12" s="124" t="str">
        <f t="shared" si="3"/>
        <v/>
      </c>
      <c r="AL12" s="83" t="str">
        <f t="shared" si="4"/>
        <v/>
      </c>
      <c r="AM12" s="124" t="str">
        <f t="shared" si="5"/>
        <v/>
      </c>
      <c r="AN12" s="83" t="str">
        <f t="shared" si="6"/>
        <v/>
      </c>
      <c r="AO12" s="88" t="str">
        <f t="shared" si="7"/>
        <v/>
      </c>
      <c r="AS12" s="28" t="s">
        <v>468</v>
      </c>
      <c r="AT12" s="283" t="str">
        <f>IF(AT11="","",IF(AT11&lt;=0,0,AT11))</f>
        <v/>
      </c>
      <c r="AU12" s="283" t="str">
        <f>IF(AU11="","",IF(AU11&lt;=0,0,AU11))</f>
        <v/>
      </c>
      <c r="AV12" s="283" t="str">
        <f>IF(AV11="","",IF(AV11&lt;=0,0,AV11))</f>
        <v/>
      </c>
      <c r="AW12" s="283" t="str">
        <f>IF(AW11="","",IF(AW11&lt;=0,0,AW11))</f>
        <v/>
      </c>
      <c r="AX12" s="284" t="str">
        <f>IF(AX11="","",IF(AX11&lt;=0,0,AX11))</f>
        <v/>
      </c>
      <c r="AY12" s="7"/>
      <c r="BA12" s="28"/>
      <c r="BB12" s="22" t="str">
        <f>IF(AND(DK7="",DL7="",DM7="",DN7="",DO7="",CZ7="",DA7="",DB7="",DC7="",DD7=""),"",ROUNDUP(MAX(DD7,DO7),2))</f>
        <v/>
      </c>
      <c r="BC12" s="22" t="str">
        <f>IF(AND(Calculations!AX11="",Calculations!AX16="",Calculations!BO5="",Calculations!BO10="",Calculations!CB5="",Calculations!CB10="",Calculations!CO5="",Calculations!CO10="",BO15,CB15),"",ROUNDUP(MAX(Calculations!AX12,Calculations!AX16,Calculations!BO5,Calculations!BO10,Calculations!CB5,Calculations!CB10,Calculations!CO5,Calculations!CO10,BO15,CB15),1))</f>
        <v/>
      </c>
      <c r="BD12" s="22" t="str">
        <f>IF(AND(Calculations!AX11="",Calculations!AX16="",Calculations!BO5="",Calculations!BO10="",Calculations!CB5="",Calculations!CB10="",Calculations!CO5="",Calculations!CO10=""),"",ROUNDUP(MAX(Calculations!AX12,Calculations!AX16,Calculations!BO5,Calculations!BO10,Calculations!CB5,Calculations!CB10,Calculations!CO5,Calculations!CO10),1))</f>
        <v/>
      </c>
      <c r="BE12" s="363" t="str">
        <f>IF(AND(BC12="",BD12="",BB12=""),"",IF(AND(logCryptoR="",MicrocystinR=""),BD12,IF(AND(logCryptoR&lt;&gt;"",MicrocystinR&lt;&gt;"",'CT Worksheet'!B33="Ozone"),MAX(BB12:BD12),IF(AND(logCryptoR&lt;&gt;"",MicrocystinR&lt;&gt;"",'CT Worksheet'!B33="Cl2 (Free)"),MAX(BB12,BD12),IF(AND(logCryptoR&lt;&gt;"",MicrocystinR&lt;&gt;"", 'CT Worksheet'!B33="Chlorine Dioxide"),MAX(BC12:BD12),IF(AND(logCryptoR&lt;&gt;"",MicrocystinR="",OR('CT Worksheet'!B33="Ozone",'CT Worksheet'!B33="Chlorine Dioxide")),MAX(BC12:BD12),MAX(BB12,BD12)))))))</f>
        <v/>
      </c>
      <c r="BF12" s="7"/>
    </row>
    <row r="13" spans="1:119" ht="13.5" thickBot="1" x14ac:dyDescent="0.25">
      <c r="A13" s="28"/>
      <c r="B13" s="6"/>
      <c r="C13" s="6"/>
      <c r="D13" s="345"/>
      <c r="E13" s="6"/>
      <c r="F13" s="346"/>
      <c r="G13" s="6"/>
      <c r="H13" s="350">
        <f>IF((H12=""),0,H12)</f>
        <v>0</v>
      </c>
      <c r="I13" s="276"/>
      <c r="J13" s="604">
        <f>IF((J12=""),0,J12)</f>
        <v>0</v>
      </c>
      <c r="K13" s="604"/>
      <c r="L13" s="594"/>
      <c r="M13" s="594"/>
      <c r="N13" s="6"/>
      <c r="O13" s="604">
        <f>IF((O12=""),0,O12)</f>
        <v>0</v>
      </c>
      <c r="P13" s="604"/>
      <c r="Q13" s="624"/>
      <c r="R13" s="624"/>
      <c r="S13" s="6"/>
      <c r="T13" s="580">
        <f>IF((T12=""),0,T12)</f>
        <v>0</v>
      </c>
      <c r="U13" s="580"/>
      <c r="V13" s="581"/>
      <c r="W13" s="581"/>
      <c r="Y13" s="28" t="str">
        <f>IF(OR(AF13="",AG13=""),"",IF(SUM(Y3:Y12)&gt;=2,0,IF(AF13=AG13,1,IF(AF13&lt;AG13,2,0))))</f>
        <v/>
      </c>
      <c r="Z13" s="6" t="str">
        <f>IF(OR(AH13="",AI13=""),"",IF(SUM(Z3:Z12)&gt;=2,0,IF(AH13=AI13,1,IF(AH13&lt;AI13,2,0))))</f>
        <v/>
      </c>
      <c r="AA13" s="6" t="str">
        <f>IF(OR(AJ13="",AK13=""),"",IF(SUM(AA3:AA12)&gt;=2,0,IF(AJ13=AK13,1,IF(AJ13&lt;AK13,2,0))))</f>
        <v/>
      </c>
      <c r="AB13" s="6" t="str">
        <f>IF(OR(AL13="",AM13=""),"",IF(SUM(AB3:AB12)&gt;=2,0,IF(AL13=AM13,1,IF(AL13&lt;AM13,2,0))))</f>
        <v/>
      </c>
      <c r="AC13" s="2" t="str">
        <f>IF(OR(AN13="",AO13=""),"",IF(SUM(AC3:AC12)&gt;=2,0,IF(AN13=AO13,1,IF(AN13&lt;AO13,2,0))))</f>
        <v/>
      </c>
      <c r="AD13" s="12">
        <v>11</v>
      </c>
      <c r="AE13" s="86">
        <v>2.4</v>
      </c>
      <c r="AF13" s="290" t="str">
        <f t="shared" si="0"/>
        <v/>
      </c>
      <c r="AG13" s="88" t="str">
        <f t="shared" si="8"/>
        <v/>
      </c>
      <c r="AH13" s="83" t="str">
        <f t="shared" si="1"/>
        <v/>
      </c>
      <c r="AI13" s="124" t="str">
        <f t="shared" si="9"/>
        <v/>
      </c>
      <c r="AJ13" s="83" t="str">
        <f t="shared" si="2"/>
        <v/>
      </c>
      <c r="AK13" s="124" t="str">
        <f t="shared" si="3"/>
        <v/>
      </c>
      <c r="AL13" s="83" t="str">
        <f t="shared" si="4"/>
        <v/>
      </c>
      <c r="AM13" s="124" t="str">
        <f t="shared" si="5"/>
        <v/>
      </c>
      <c r="AN13" s="83" t="str">
        <f t="shared" si="6"/>
        <v/>
      </c>
      <c r="AO13" s="88" t="str">
        <f t="shared" si="7"/>
        <v/>
      </c>
      <c r="AS13" s="29"/>
      <c r="AT13" s="159" t="s">
        <v>1</v>
      </c>
      <c r="AU13" s="159" t="s">
        <v>1</v>
      </c>
      <c r="AV13" s="159" t="s">
        <v>1</v>
      </c>
      <c r="AW13" s="159" t="s">
        <v>1</v>
      </c>
      <c r="AX13" s="185" t="s">
        <v>1</v>
      </c>
      <c r="AY13" s="7"/>
      <c r="BA13" s="28"/>
      <c r="BB13" s="6"/>
      <c r="BC13" s="6"/>
      <c r="BD13" s="6"/>
      <c r="BE13" s="6"/>
      <c r="BF13" s="7"/>
      <c r="BJ13" s="620" t="s">
        <v>612</v>
      </c>
      <c r="BK13" s="612"/>
      <c r="BL13" s="612"/>
      <c r="BM13" s="612"/>
      <c r="BN13" s="612"/>
      <c r="BO13" s="621"/>
      <c r="BW13" s="561" t="s">
        <v>672</v>
      </c>
      <c r="BX13" s="562"/>
      <c r="BY13" s="562"/>
      <c r="BZ13" s="562"/>
      <c r="CA13" s="562"/>
      <c r="CB13" s="563"/>
    </row>
    <row r="14" spans="1:119" ht="13.5" thickBot="1" x14ac:dyDescent="0.25">
      <c r="A14" s="610" t="s">
        <v>540</v>
      </c>
      <c r="B14" s="586"/>
      <c r="C14" s="586"/>
      <c r="D14" s="611"/>
      <c r="E14" s="296" t="str">
        <f>IF(OR(O4="",AND('CT Worksheet'!S10="",'CT Worksheet'!U12=""),'CT Worksheet'!U13&lt;&gt;""),"",IF(AND('CT Worksheet'!S10&lt;&gt;"",'CT Worksheet'!U12=""),(O5*(1-SUM(CTca2,CTca3,CTca4,CTca5))/('CT Worksheet'!C12)*(C4/('CT Worksheet'!S10*'CT Worksheet'!U10))),O5*(1-SUM(CTca2,CTca3,CTca4,CTca5))/('CT Worksheet'!U12*'CT Worksheet'!C12)))</f>
        <v/>
      </c>
      <c r="F14" s="105" t="str">
        <f>IF(OR(AND(H4="",J4=""),AND('CT Worksheet'!S10="",'CT Worksheet'!U12=""),'CT Worksheet'!U13&lt;&gt;""),"",IF(AND('CT Worksheet'!S10&lt;&gt;"",'CT Worksheet'!U12=""),(MAX(H5*(1-SUM(CTga2,CTga3,CTga4,CTga5)),J5*(1-SUM(CTva2,CTva3,CTva4,CTva5)))/'CT Worksheet'!C12)*(C4/('CT Worksheet'!S10*'CT Worksheet'!U10)),(MAX(H5*(1-SUM(CTga2,CTga3,CTga4,CTga5)),J5*(1-SUM(CTva2,CTva3,CTva4,CTva5)))/('CT Worksheet'!U12*'CT Worksheet'!C12))))</f>
        <v/>
      </c>
      <c r="G14" s="6"/>
      <c r="H14" s="133" t="s">
        <v>432</v>
      </c>
      <c r="I14" s="186" t="str">
        <f>IF(AND(I4="",I6="",I8="",I10="",I12=""),"",SUM(I4:I12))</f>
        <v/>
      </c>
      <c r="J14" s="599"/>
      <c r="K14" s="599"/>
      <c r="L14" s="600" t="str">
        <f>IF(AND(L4="",L6="",L8="",L10="",L12=""),"",SUM(L4:L12))</f>
        <v/>
      </c>
      <c r="M14" s="600"/>
      <c r="N14" s="4"/>
      <c r="O14" s="582"/>
      <c r="P14" s="582"/>
      <c r="Q14" s="583" t="str">
        <f>IF(AND((Q4=""),(Q6=""),(Q8=""),(Q10=""),(Q12="")),"",SUM(Q4:Q12))</f>
        <v/>
      </c>
      <c r="R14" s="583"/>
      <c r="S14" s="4"/>
      <c r="T14" s="582"/>
      <c r="U14" s="582"/>
      <c r="V14" s="583" t="str">
        <f>IF(AND((V4=""),(V6=""),(V8=""),(V10=""),(V12="")),"",SUM(V4:V12))</f>
        <v/>
      </c>
      <c r="W14" s="584"/>
      <c r="Y14" s="28" t="str">
        <f>IF(OR(AF14="",AG14=""),"",IF(SUM(Y3:Y13)&gt;=2,0,IF(AF14=AG14,1,IF(AF14&lt;AG14,2,0))))</f>
        <v/>
      </c>
      <c r="Z14" s="6" t="str">
        <f>IF(OR(AH14="",AI14=""),"",IF(SUM(Z3:Z13)&gt;=2,0,IF(AH14=AI14,1,IF(AH14&lt;AI14,2,0))))</f>
        <v/>
      </c>
      <c r="AA14" s="6" t="str">
        <f>IF(OR(AJ14="",AK14=""),"",IF(SUM(AA3:AA13)&gt;=2,0,IF(AJ14=AK14,1,IF(AJ14&lt;AK14,2,0))))</f>
        <v/>
      </c>
      <c r="AB14" s="6" t="str">
        <f>IF(OR(AL14="",AM14=""),"",IF(SUM(AB3:AB13)&gt;=2,0,IF(AL14=AM14,1,IF(AL14&lt;AM14,2,0))))</f>
        <v/>
      </c>
      <c r="AC14" s="2" t="str">
        <f>IF(OR(AN14="",AO14=""),"",IF(SUM(AC3:AC13)&gt;=2,0,IF(AN14=AO14,1,IF(AN14&lt;AO14,2,0))))</f>
        <v/>
      </c>
      <c r="AD14" s="12">
        <v>12</v>
      </c>
      <c r="AE14" s="86">
        <v>2.6</v>
      </c>
      <c r="AF14" s="290" t="str">
        <f t="shared" si="0"/>
        <v/>
      </c>
      <c r="AG14" s="88" t="str">
        <f t="shared" si="8"/>
        <v/>
      </c>
      <c r="AH14" s="83" t="str">
        <f t="shared" si="1"/>
        <v/>
      </c>
      <c r="AI14" s="124" t="str">
        <f t="shared" si="9"/>
        <v/>
      </c>
      <c r="AJ14" s="83" t="str">
        <f t="shared" si="2"/>
        <v/>
      </c>
      <c r="AK14" s="124" t="str">
        <f t="shared" si="3"/>
        <v/>
      </c>
      <c r="AL14" s="83" t="str">
        <f t="shared" si="4"/>
        <v/>
      </c>
      <c r="AM14" s="124" t="str">
        <f t="shared" si="5"/>
        <v/>
      </c>
      <c r="AN14" s="83" t="str">
        <f t="shared" si="6"/>
        <v/>
      </c>
      <c r="AO14" s="88" t="str">
        <f t="shared" si="7"/>
        <v/>
      </c>
      <c r="AS14" s="397" t="s">
        <v>467</v>
      </c>
      <c r="AT14" s="395"/>
      <c r="AU14" s="395"/>
      <c r="AV14" s="395"/>
      <c r="AW14" s="395"/>
      <c r="AX14" s="396"/>
      <c r="AY14" s="7"/>
      <c r="BA14" s="28"/>
      <c r="BB14" s="6"/>
      <c r="BC14" s="6"/>
      <c r="BD14" s="6"/>
      <c r="BE14" s="6"/>
      <c r="BF14" s="7"/>
      <c r="BJ14" s="366" t="s">
        <v>583</v>
      </c>
      <c r="BK14" s="348" t="str">
        <f>IF((BR35=""),"",((BR35*(1-SUM(CTca2,CTca3,CTca4,CTca5)))/Time1))</f>
        <v/>
      </c>
      <c r="BL14" s="348" t="str">
        <f>IF((BR53=""),"",((BR53*(1-SUM(CTca1,CTca3,CTca4,CTca5)))/Time2))</f>
        <v/>
      </c>
      <c r="BM14" s="348" t="str">
        <f>IF((BR71=""),"",((BR71*(1-SUM(CTca2,CTca1,CTca4,CTca5)))/Time3))</f>
        <v/>
      </c>
      <c r="BN14" s="348" t="str">
        <f>IF((BR89=""),"",((BR89*(1-SUM(CTca2,CTca3,CTca1,CTca5)))/Time4))</f>
        <v/>
      </c>
      <c r="BO14" s="377" t="str">
        <f>IF((BR107=""),"",((BR107*(1-SUM(CTca2,CTca3,CTca4,CTca1)))/Time5))</f>
        <v/>
      </c>
      <c r="BW14" s="277" t="s">
        <v>584</v>
      </c>
      <c r="BX14" s="348" t="str">
        <f>IF((CE35=""),"",((CE35*(1-SUM(CTca2,CTca3,CTca4,CTca5)))/Time1))</f>
        <v/>
      </c>
      <c r="BY14" s="348" t="str">
        <f>IF((CE53=""),"",((CE53*(1-SUM(CTca1,CTca3,CTca4,CTca5)))/Time2))</f>
        <v/>
      </c>
      <c r="BZ14" s="348" t="str">
        <f>IF((CE71=""),"",((CE71*(1-SUM(CTca2,CTca1,CTca4,CTca5)))/Time3))</f>
        <v/>
      </c>
      <c r="CA14" s="348" t="str">
        <f>IF((CE89=""),"",((CE89*(1-SUM(CTca2,CTca3,CTca1,CTca5)))/Time4))</f>
        <v/>
      </c>
      <c r="CB14" s="377" t="str">
        <f>IF((CE107=""),"",((CE107*(1-SUM(CTca2,CTca3,CTca4,CTca1)))/Time5))</f>
        <v/>
      </c>
    </row>
    <row r="15" spans="1:119" ht="13.5" thickBot="1" x14ac:dyDescent="0.25">
      <c r="E15" s="444" t="str">
        <f>IF(OR(T4="",AND('CT Worksheet'!S10="",'CT Worksheet'!U12="",'CT Worksheet'!U13&lt;&gt;"")),"",IF(AND('CT Worksheet'!S10&lt;&gt;"",'CT Worksheet'!U12=""),(T5*(1-SUM(CTma2,CTma3,CTma4,CTma5))/'CT Worksheet'!C12)*(C4/('CT Worksheet'!S10*'CT Worksheet'!U10)),T5*(1-SUM(CTma2,CTma3,CTma4,CTma5))/('CT Worksheet'!U12*'CT Worksheet'!C12)))</f>
        <v/>
      </c>
      <c r="F15" s="365" t="str">
        <f>IF(AND(E14="",F14="",E15=""),"",MAX(E14,F14,E15))</f>
        <v/>
      </c>
      <c r="G15" s="364" t="s">
        <v>26</v>
      </c>
      <c r="H15" s="134" t="s">
        <v>431</v>
      </c>
      <c r="I15" s="187" t="str">
        <f>IF(I14="","",CONCATENATE(ROUND(I14*'CT Worksheet'!S3,2),"-log"))</f>
        <v/>
      </c>
      <c r="J15" s="601"/>
      <c r="K15" s="601"/>
      <c r="L15" s="602" t="str">
        <f>IF(L14="","",CONCATENATE(ROUND(L14*'CT Worksheet'!S4,2),"-log"))</f>
        <v/>
      </c>
      <c r="M15" s="602"/>
      <c r="N15" s="9"/>
      <c r="O15" s="573"/>
      <c r="P15" s="573"/>
      <c r="Q15" s="574" t="str">
        <f>IF((Q14=""),"",CONCATENATE(ROUND((Q14*logCryptoR),2),"-log"))</f>
        <v/>
      </c>
      <c r="R15" s="574"/>
      <c r="S15" s="9"/>
      <c r="T15" s="573"/>
      <c r="U15" s="573"/>
      <c r="V15" s="574" t="str">
        <f>IF((V14=""),"",CONCATENATE(ROUND((V14*MicrocystinR),2)," ug/l"))</f>
        <v/>
      </c>
      <c r="W15" s="575"/>
      <c r="Y15" s="28" t="str">
        <f>IF(OR(AF15="",AG15=""),"",IF(SUM(Y3:Y14)&gt;=2,0,IF(AF15=AG15,1,IF(AF15&lt;AG15,2,0))))</f>
        <v/>
      </c>
      <c r="Z15" s="6" t="str">
        <f>IF(OR(AH15="",AI15=""),"",IF(SUM(Z3:Z14)&gt;=2,0,IF(AH15=AI15,1,IF(AH15&lt;AI15,2,0))))</f>
        <v/>
      </c>
      <c r="AA15" s="6" t="str">
        <f>IF(OR(AJ15="",AK15=""),"",IF(SUM(AA3:AA14)&gt;=2,0,IF(AJ15=AK15,1,IF(AJ15&lt;AK15,2,0))))</f>
        <v/>
      </c>
      <c r="AB15" s="6" t="str">
        <f>IF(OR(AL15="",AM15=""),"",IF(SUM(AB3:AB14)&gt;=2,0,IF(AL15=AM15,1,IF(AL15&lt;AM15,2,0))))</f>
        <v/>
      </c>
      <c r="AC15" s="2" t="str">
        <f>IF(OR(AN15="",AO15=""),"",IF(SUM(AC3:AC14)&gt;=2,0,IF(AN15=AO15,1,IF(AN15&lt;AO15,2,0))))</f>
        <v/>
      </c>
      <c r="AD15" s="12">
        <v>13</v>
      </c>
      <c r="AE15" s="86">
        <v>2.8</v>
      </c>
      <c r="AF15" s="290" t="str">
        <f t="shared" si="0"/>
        <v/>
      </c>
      <c r="AG15" s="88" t="str">
        <f t="shared" si="8"/>
        <v/>
      </c>
      <c r="AH15" s="83" t="str">
        <f t="shared" si="1"/>
        <v/>
      </c>
      <c r="AI15" s="124" t="str">
        <f t="shared" si="9"/>
        <v/>
      </c>
      <c r="AJ15" s="83" t="str">
        <f t="shared" si="2"/>
        <v/>
      </c>
      <c r="AK15" s="124" t="str">
        <f t="shared" si="3"/>
        <v/>
      </c>
      <c r="AL15" s="83" t="str">
        <f t="shared" si="4"/>
        <v/>
      </c>
      <c r="AM15" s="124" t="str">
        <f t="shared" si="5"/>
        <v/>
      </c>
      <c r="AN15" s="83" t="str">
        <f t="shared" si="6"/>
        <v/>
      </c>
      <c r="AO15" s="88" t="str">
        <f t="shared" si="7"/>
        <v/>
      </c>
      <c r="AS15" s="277" t="s">
        <v>578</v>
      </c>
      <c r="AT15" s="278" t="str">
        <f>IF(BE25="","",(BE25*(1-SUM(CTva2,CTva3,CTva4,CTva5))/Time1))</f>
        <v/>
      </c>
      <c r="AU15" s="278" t="str">
        <f>IF(BE43="","",BE43*(1-SUM(CTva1,CTva3,CTva4,CTva5))/Time2)</f>
        <v/>
      </c>
      <c r="AV15" s="278" t="str">
        <f>IF(BE61="","",BE61*(1-SUM(CTva2,CTva1,CTva4,CTva5))/Time3)</f>
        <v/>
      </c>
      <c r="AW15" s="278" t="str">
        <f>IF(BE79="","",BE79*(1-SUM(CTva2,CTva3,CTva1,CTva5))/Time4)</f>
        <v/>
      </c>
      <c r="AX15" s="279" t="str">
        <f>IF(BE97="","",BE97*(1-SUM(CTva2,CTva3,CTva4,CTva1))/Time5)</f>
        <v/>
      </c>
      <c r="AY15" s="7"/>
      <c r="BA15" s="28"/>
      <c r="BB15" s="6"/>
      <c r="BC15" s="6"/>
      <c r="BD15" s="6"/>
      <c r="BE15" s="6"/>
      <c r="BF15" s="7"/>
      <c r="BJ15" s="367" t="s">
        <v>613</v>
      </c>
      <c r="BK15" s="283" t="str">
        <f>IF(BK14="","",IF(BK14&lt;=0,0,BK14))</f>
        <v/>
      </c>
      <c r="BL15" s="283" t="str">
        <f>IF(BL14="","",IF(BL14&lt;=0,0,BL14))</f>
        <v/>
      </c>
      <c r="BM15" s="283" t="str">
        <f>IF(BM14="","",IF(BM14&lt;=0,0,BM14))</f>
        <v/>
      </c>
      <c r="BN15" s="283" t="str">
        <f>IF(BN14="","",IF(BN14&lt;=0,0,BN14))</f>
        <v/>
      </c>
      <c r="BO15" s="284" t="str">
        <f>IF(BO14="","",IF(BO14&lt;=0,0,BO14))</f>
        <v/>
      </c>
      <c r="BW15" s="28" t="s">
        <v>622</v>
      </c>
      <c r="BX15" s="283" t="str">
        <f>IF(BX14="","",IF(BX14&lt;=0,0,BX14))</f>
        <v/>
      </c>
      <c r="BY15" s="281" t="str">
        <f>IF(BY14="","",IF(BY14&lt;=0,0,BY14))</f>
        <v/>
      </c>
      <c r="BZ15" s="281" t="str">
        <f>IF(BZ14="","",IF(BZ14&lt;=0,0,BZ14))</f>
        <v/>
      </c>
      <c r="CA15" s="281" t="str">
        <f>IF(CA14="","",IF(CA14&lt;=0,0,CA14))</f>
        <v/>
      </c>
      <c r="CB15" s="282" t="str">
        <f>IF(CB14="","",IF(CB14&lt;=0,0,CB14))</f>
        <v/>
      </c>
    </row>
    <row r="16" spans="1:119" ht="13.5" thickBot="1" x14ac:dyDescent="0.25">
      <c r="A16" s="28"/>
      <c r="B16" s="6"/>
      <c r="C16" s="6"/>
      <c r="D16" s="6"/>
      <c r="E16" s="6"/>
      <c r="F16" s="6"/>
      <c r="G16" s="293"/>
      <c r="H16" s="124"/>
      <c r="I16" s="44"/>
      <c r="J16" s="594"/>
      <c r="K16" s="594"/>
      <c r="L16" s="594"/>
      <c r="M16" s="594"/>
      <c r="N16" s="6"/>
      <c r="O16" s="6"/>
      <c r="P16" s="6"/>
      <c r="Q16" s="6"/>
      <c r="R16" s="6"/>
      <c r="S16" s="6"/>
      <c r="T16" s="6"/>
      <c r="Y16" s="184" t="str">
        <f>IF(OR(AF16="",AG16=""),"",IF(SUM(Y3:Y15)&gt;=2,0,IF(AF16=AG16,1,IF(AF16&lt;AG16,2,0))))</f>
        <v/>
      </c>
      <c r="Z16" s="23" t="str">
        <f>IF(OR(AH16="",AI16=""),"",IF(SUM(Z3:Z15)&gt;=2,0,IF(AH16=AI16,1,IF(AH16&lt;AI16,2,0))))</f>
        <v/>
      </c>
      <c r="AA16" s="23" t="str">
        <f>IF(OR(AJ16="",AK16=""),"",IF(SUM(AA3:AA15)&gt;=2,0,IF(AJ16=AK16,1,IF(AJ16&lt;AK16,2,0))))</f>
        <v/>
      </c>
      <c r="AB16" s="23" t="str">
        <f>IF(OR(AL16="",AM16=""),"",IF(SUM(AB3:AB15)&gt;=2,0,IF(AL16=AM16,1,IF(AL16&lt;AM16,2,0))))</f>
        <v/>
      </c>
      <c r="AC16" s="34" t="str">
        <f>IF(OR(AN16="",AO16=""),"",IF(SUM(AC3:AC15)&gt;=2,0,IF(AN16=AO16,1,IF(AN16&lt;AO16,2,0))))</f>
        <v/>
      </c>
      <c r="AD16" s="103">
        <v>14</v>
      </c>
      <c r="AE16" s="87">
        <v>3</v>
      </c>
      <c r="AF16" s="291" t="str">
        <f t="shared" si="0"/>
        <v/>
      </c>
      <c r="AG16" s="89" t="str">
        <f t="shared" si="8"/>
        <v/>
      </c>
      <c r="AH16" s="84" t="str">
        <f t="shared" si="1"/>
        <v/>
      </c>
      <c r="AI16" s="125" t="str">
        <f t="shared" si="9"/>
        <v/>
      </c>
      <c r="AJ16" s="84" t="str">
        <f t="shared" si="2"/>
        <v/>
      </c>
      <c r="AK16" s="125" t="str">
        <f t="shared" si="3"/>
        <v/>
      </c>
      <c r="AL16" s="84" t="str">
        <f t="shared" si="4"/>
        <v/>
      </c>
      <c r="AM16" s="125" t="str">
        <f t="shared" si="5"/>
        <v/>
      </c>
      <c r="AN16" s="84" t="str">
        <f t="shared" si="6"/>
        <v/>
      </c>
      <c r="AO16" s="89" t="str">
        <f t="shared" si="7"/>
        <v/>
      </c>
      <c r="AS16" s="28" t="s">
        <v>469</v>
      </c>
      <c r="AT16" s="283" t="str">
        <f>IF(AT15="","",IF(AT15&lt;=0,0,AT15))</f>
        <v/>
      </c>
      <c r="AU16" s="283" t="str">
        <f>IF(AU15="","",IF(AU15&lt;=0,0,AU15))</f>
        <v/>
      </c>
      <c r="AV16" s="283" t="str">
        <f>IF(AV15="","",IF(AV15&lt;=0,0,AV15))</f>
        <v/>
      </c>
      <c r="AW16" s="283" t="str">
        <f>IF(AW15="","",IF(AW15&lt;=0,0,AW15))</f>
        <v/>
      </c>
      <c r="AX16" s="284" t="str">
        <f>IF(AX15="","",IF(AX15&lt;=0,0,AX15))</f>
        <v/>
      </c>
      <c r="AY16" s="7"/>
      <c r="BA16" s="28"/>
      <c r="BB16" s="6"/>
      <c r="BC16" s="6"/>
      <c r="BD16" s="6"/>
      <c r="BE16" s="6"/>
      <c r="BF16" s="7"/>
      <c r="BJ16" s="368"/>
      <c r="BK16" s="369" t="s">
        <v>1</v>
      </c>
      <c r="BL16" s="369" t="s">
        <v>1</v>
      </c>
      <c r="BM16" s="369" t="s">
        <v>1</v>
      </c>
      <c r="BN16" s="369" t="s">
        <v>1</v>
      </c>
      <c r="BO16" s="370" t="s">
        <v>1</v>
      </c>
      <c r="BW16" s="29"/>
      <c r="BX16" s="159" t="s">
        <v>1</v>
      </c>
      <c r="BY16" s="159" t="s">
        <v>1</v>
      </c>
      <c r="BZ16" s="159" t="s">
        <v>1</v>
      </c>
      <c r="CA16" s="159" t="s">
        <v>1</v>
      </c>
      <c r="CB16" s="185" t="s">
        <v>1</v>
      </c>
    </row>
    <row r="17" spans="1:119" ht="13.5" thickBot="1" x14ac:dyDescent="0.25">
      <c r="A17" s="610" t="s">
        <v>539</v>
      </c>
      <c r="B17" s="586"/>
      <c r="C17" s="586"/>
      <c r="D17" s="611"/>
      <c r="E17" s="381" t="str">
        <f>IF(OR(O12="",AND('CT Worksheet'!S31="",'CT Worksheet'!U33=""),'CT Worksheet'!U34&lt;&gt;""),"",IF(AND('CT Worksheet'!S30="Diameter",'CT Worksheet'!S31&lt;&gt;"",'CT Worksheet'!U33=""),(((O13*(1-SUM(CTca2,CTca3,CTca4,CTca1)))/'CT Worksheet'!C33)*(C12)/(D12/'CT Worksheet'!C31)),IF(AND('CT Worksheet'!S30="Volume / ft",'CT Worksheet'!S31&lt;&gt;"",'CT Worksheet'!U33=""),(((O13*(1-SUM(CTca2,CTca3,CTca4,CTca1)))/'CT Worksheet'!C33)/'CT Worksheet'!S31),IF('CT Worksheet'!U33&lt;&gt;"",((O13*(1-SUM(CTca2,CTca3,CTca4,CTca1)))/('CT Worksheet'!C33*'CT Worksheet'!U33)),"1"))))</f>
        <v/>
      </c>
      <c r="F17" s="105" t="str">
        <f>IF(OR(AND(H12="",J12=""),AND('CT Worksheet'!S31="",'CT Worksheet'!U33=""),'CT Worksheet'!U34&lt;&gt;""),"",IF(AND('CT Worksheet'!S30="Diameter",'CT Worksheet'!S31&lt;&gt;"",'CT Worksheet'!U33=""),((MAX(H13*(1-SUM(CTga2,CTga3,CTga4,CTga1)),J13*(1-SUM(CTva2,CTva3,CTva4,CTva1)))/'CT Worksheet'!C33)*(C12)/(D12/'CT Worksheet'!C31)),IF(AND('CT Worksheet'!S30="Volume / ft",'CT Worksheet'!S31&lt;&gt;"",'CT Worksheet'!U33=""),(MAX(H13*(1-SUM(CTga2,CTga3,CTga4,CTga1)),J13*(1-SUM(CTva2,CTva3,CTva4,CTva1)))/'CT Worksheet'!C33)/'CT Worksheet'!S31,IF('CT Worksheet'!U33&lt;&gt;"",MAX(H13*(1-SUM(CTga2,CTga3,CTga4,CTga1)),J13*(1-SUM(CTva2,CTva3,CTva4,CTva1)))/('CT Worksheet'!C33*'CT Worksheet'!U33),"1"))))</f>
        <v/>
      </c>
      <c r="G17" s="293"/>
      <c r="H17" s="347"/>
      <c r="I17" s="44"/>
      <c r="J17" s="594"/>
      <c r="K17" s="594"/>
      <c r="L17" s="594"/>
      <c r="M17" s="594"/>
      <c r="N17" s="6"/>
      <c r="O17" s="6"/>
      <c r="P17" s="6"/>
      <c r="Q17" s="6"/>
      <c r="R17" s="6"/>
      <c r="S17" s="6"/>
      <c r="T17" s="6"/>
      <c r="Y17" s="235" t="str">
        <f>IF(Y3="","",SUM(Y3:Y16))</f>
        <v/>
      </c>
      <c r="Z17" s="12" t="str">
        <f>IF(Z3="","",SUM(Z3:Z16))</f>
        <v/>
      </c>
      <c r="AA17" s="12" t="str">
        <f>IF(AA3="","",SUM(AA3:AA16))</f>
        <v/>
      </c>
      <c r="AB17" s="12" t="str">
        <f>IF(AB3="","",SUM(AB3:AB16))</f>
        <v/>
      </c>
      <c r="AC17" s="12" t="str">
        <f>IF(AC3="","",SUM(AC3:AC16))</f>
        <v/>
      </c>
      <c r="AD17" s="6"/>
      <c r="AE17" s="6"/>
      <c r="AF17" s="6"/>
      <c r="AG17" s="292"/>
      <c r="AH17" s="35"/>
      <c r="AI17" s="6"/>
      <c r="AJ17" s="6"/>
      <c r="AK17" s="6"/>
      <c r="AL17" s="6"/>
      <c r="AM17" s="6"/>
      <c r="AN17" s="294"/>
      <c r="AO17" s="294"/>
      <c r="AS17" s="29"/>
      <c r="AT17" s="159" t="s">
        <v>1</v>
      </c>
      <c r="AU17" s="159" t="s">
        <v>1</v>
      </c>
      <c r="AV17" s="159" t="s">
        <v>1</v>
      </c>
      <c r="AW17" s="159" t="s">
        <v>1</v>
      </c>
      <c r="AX17" s="185" t="s">
        <v>1</v>
      </c>
      <c r="AY17" s="7"/>
      <c r="BA17" s="28"/>
      <c r="BB17" s="6"/>
      <c r="BC17" s="6"/>
      <c r="BD17" s="6"/>
      <c r="BE17" s="6"/>
      <c r="BF17" s="7"/>
    </row>
    <row r="18" spans="1:119" ht="13.5" thickBot="1" x14ac:dyDescent="0.25">
      <c r="A18" s="29"/>
      <c r="B18" s="9"/>
      <c r="C18" s="9"/>
      <c r="D18" s="9"/>
      <c r="E18" s="9" t="str">
        <f>IF(OR(T12="",AND('CT Worksheet'!S31="",'CT Worksheet'!U33=""),'CT Worksheet'!U34&lt;&gt;""),"",IF(AND('CT Worksheet'!S30="Diameter",'CT Worksheet'!S31&lt;&gt;"",'CT Worksheet'!U33=""),(((T13*(1-SUM(CTma2,CTma3,CTma4,CTma1)))/'CT Worksheet'!C33)*(C12)/(D12/'CT Worksheet'!C31)),IF(AND('CT Worksheet'!S30="Volume / ft",'CT Worksheet'!S31&lt;&gt;"",'CT Worksheet'!U33=""),(((T13*(1-SUM(CTma2,CTma3,CTma4,CTma1)))/'CT Worksheet'!C33)/'CT Worksheet'!S31),IF('CT Worksheet'!U33&lt;&gt;"",((T13*(1-SUM(CTma2,CTma3,CTma4,CTma1)))/('CT Worksheet'!C33*'CT Worksheet'!U33)),"1"))))</f>
        <v/>
      </c>
      <c r="F18" s="365" t="str">
        <f>IF(AND(E17="",F17="",E18=""),"",MAX(E17,F17,E18))</f>
        <v/>
      </c>
      <c r="G18" s="9" t="s">
        <v>26</v>
      </c>
      <c r="H18" s="9"/>
      <c r="I18" s="9"/>
      <c r="J18" s="589"/>
      <c r="K18" s="589"/>
      <c r="L18" s="589"/>
      <c r="M18" s="589"/>
      <c r="N18" s="9"/>
      <c r="O18" s="9"/>
      <c r="P18" s="9"/>
      <c r="Q18" s="9"/>
      <c r="R18" s="9"/>
      <c r="S18" s="9"/>
      <c r="T18" s="9"/>
      <c r="Y18" s="29"/>
      <c r="Z18" s="9"/>
      <c r="AA18" s="9"/>
      <c r="AB18" s="161"/>
      <c r="AC18" s="9"/>
      <c r="AD18" s="9"/>
      <c r="AE18" s="9"/>
      <c r="AF18" s="9"/>
      <c r="AQ18" s="9"/>
      <c r="AS18" s="9"/>
      <c r="AT18" s="9"/>
      <c r="AU18" s="9"/>
      <c r="AV18" s="9"/>
      <c r="AW18" s="9"/>
      <c r="AX18" s="9"/>
      <c r="AY18" s="10"/>
      <c r="BA18" s="29"/>
      <c r="BB18" s="9"/>
      <c r="BC18" s="9"/>
      <c r="BD18" s="9"/>
      <c r="BE18" s="9"/>
      <c r="BF18" s="10"/>
      <c r="BT18" s="6"/>
    </row>
    <row r="19" spans="1:119" x14ac:dyDescent="0.2">
      <c r="A19" s="27"/>
      <c r="B19" s="4"/>
      <c r="C19" s="4" t="s">
        <v>50</v>
      </c>
      <c r="D19" s="4"/>
      <c r="E19" s="4"/>
      <c r="F19" s="158" t="s">
        <v>48</v>
      </c>
      <c r="G19" s="4" t="s">
        <v>485</v>
      </c>
      <c r="H19" s="4"/>
      <c r="I19" s="4"/>
      <c r="J19" s="571" t="s">
        <v>48</v>
      </c>
      <c r="K19" s="571"/>
      <c r="L19" s="571" t="s">
        <v>49</v>
      </c>
      <c r="M19" s="571"/>
      <c r="N19" s="4"/>
      <c r="O19" s="571" t="s">
        <v>56</v>
      </c>
      <c r="P19" s="571"/>
      <c r="Q19" s="158" t="s">
        <v>57</v>
      </c>
      <c r="R19" s="4"/>
      <c r="S19" s="4" t="s">
        <v>58</v>
      </c>
      <c r="T19" s="4" t="s">
        <v>59</v>
      </c>
      <c r="U19" s="5"/>
      <c r="V19" s="27"/>
      <c r="W19" s="4"/>
      <c r="X19" s="585" t="s">
        <v>455</v>
      </c>
      <c r="Y19" s="585"/>
      <c r="Z19" s="585"/>
      <c r="AA19" s="585"/>
      <c r="AB19" s="585"/>
      <c r="AC19" s="585"/>
      <c r="AD19" s="585"/>
      <c r="AE19" s="585"/>
      <c r="AF19" s="4"/>
      <c r="AG19" s="571" t="str">
        <f>O19</f>
        <v>Interpolate pH</v>
      </c>
      <c r="AH19" s="571"/>
      <c r="AI19" s="571"/>
      <c r="AJ19" s="571"/>
      <c r="AK19" s="4"/>
      <c r="AL19" s="571" t="s">
        <v>151</v>
      </c>
      <c r="AM19" s="571"/>
      <c r="AN19" s="4" t="s">
        <v>152</v>
      </c>
      <c r="AO19" s="5"/>
      <c r="AQ19" s="27"/>
      <c r="AR19" s="4"/>
      <c r="AS19" s="4"/>
      <c r="AT19" s="4"/>
      <c r="AU19" s="4"/>
      <c r="AV19" s="4"/>
      <c r="AW19" s="4"/>
      <c r="AX19" s="4"/>
      <c r="AY19" s="4"/>
      <c r="AZ19" s="4"/>
      <c r="BA19" s="4"/>
      <c r="BB19" s="4"/>
      <c r="BC19" s="4"/>
      <c r="BD19" s="4"/>
      <c r="BE19" s="4"/>
      <c r="BF19" s="5"/>
      <c r="BH19" s="27"/>
      <c r="BI19" s="4"/>
      <c r="BJ19" s="4"/>
      <c r="BK19" s="4"/>
      <c r="BL19" s="4"/>
      <c r="BM19" s="4"/>
      <c r="BN19" s="4"/>
      <c r="BO19" s="4"/>
      <c r="BP19" s="4"/>
      <c r="BQ19" s="4"/>
      <c r="BR19" s="4"/>
      <c r="BS19" s="5"/>
      <c r="BT19" s="6"/>
      <c r="BU19" s="27"/>
      <c r="BV19" s="4"/>
      <c r="BW19" s="4"/>
      <c r="BX19" s="4"/>
      <c r="BY19" s="4"/>
      <c r="BZ19" s="4"/>
      <c r="CA19" s="4"/>
      <c r="CB19" s="4"/>
      <c r="CC19" s="4"/>
      <c r="CD19" s="4"/>
      <c r="CE19" s="4"/>
      <c r="CF19" s="5"/>
      <c r="CH19" s="27"/>
      <c r="CI19" s="4"/>
      <c r="CJ19" s="4"/>
      <c r="CK19" s="4"/>
      <c r="CL19" s="4"/>
      <c r="CM19" s="4"/>
      <c r="CN19" s="4"/>
      <c r="CO19" s="4"/>
      <c r="CP19" s="4"/>
      <c r="CQ19" s="4"/>
      <c r="CR19" s="4"/>
      <c r="CS19" s="5"/>
      <c r="CU19" s="27"/>
      <c r="CV19" s="4"/>
      <c r="CW19" s="4" t="s">
        <v>50</v>
      </c>
      <c r="CX19" s="4"/>
      <c r="CY19" s="4"/>
      <c r="CZ19" s="158" t="s">
        <v>48</v>
      </c>
      <c r="DA19" s="406" t="s">
        <v>652</v>
      </c>
      <c r="DB19" s="4"/>
      <c r="DC19" s="4"/>
      <c r="DD19" s="571"/>
      <c r="DE19" s="571"/>
      <c r="DF19" s="571" t="s">
        <v>56</v>
      </c>
      <c r="DG19" s="571"/>
      <c r="DH19" s="412" t="s">
        <v>634</v>
      </c>
      <c r="DI19" s="411"/>
      <c r="DJ19" s="4" t="s">
        <v>58</v>
      </c>
      <c r="DK19" s="4"/>
      <c r="DL19" s="570" t="s">
        <v>659</v>
      </c>
      <c r="DM19" s="571"/>
      <c r="DN19" s="571"/>
      <c r="DO19" s="572"/>
    </row>
    <row r="20" spans="1:119" x14ac:dyDescent="0.2">
      <c r="A20" s="28" t="s">
        <v>446</v>
      </c>
      <c r="B20" s="43" t="str">
        <f>IF(OR(logGiardiaR="",'CT Worksheet'!B12&lt;&gt;"Cl2 (free)"),"",IF(logGiardiaR&lt;=0.5,1,IF(logGiardiaR&lt;=1,2,IF(logGiardiaR&lt;=1.5,3,IF(logGiardiaR&lt;=2,4,IF(logGiardiaR&lt;=2.5,5,6))))))</f>
        <v/>
      </c>
      <c r="C20" s="190">
        <f>IF(B20=2,((1-logGiardiaR)/0.5),IF(B20=3,((1.5-logGiardiaR)/0.5),IF(B20=4,((2-logGiardiaR)/0.5),IF(B20=5,((2.5-logGiardiaR)/0.5),IF(B20=6,((3-logGiardiaR)/0.5),IF(B21=0,(0.5-logGiardiaR)/0.5,0))))))</f>
        <v>0</v>
      </c>
      <c r="D20" s="6"/>
      <c r="E20" s="6"/>
      <c r="F20" s="24" t="str">
        <f>'CT Worksheet'!B9</f>
        <v>Clearwell</v>
      </c>
      <c r="G20" s="6"/>
      <c r="H20" s="6"/>
      <c r="I20" s="6"/>
      <c r="J20" s="569" t="str">
        <f>'CT Worksheet'!B9</f>
        <v>Clearwell</v>
      </c>
      <c r="K20" s="569"/>
      <c r="L20" s="6"/>
      <c r="M20" s="6"/>
      <c r="N20" s="22"/>
      <c r="O20" s="6"/>
      <c r="P20" s="6"/>
      <c r="Q20" s="6"/>
      <c r="R20" s="6"/>
      <c r="S20" s="6"/>
      <c r="T20" s="6"/>
      <c r="U20" s="7"/>
      <c r="V20" s="28"/>
      <c r="W20" s="6"/>
      <c r="X20" s="587" t="str">
        <f>J22</f>
        <v xml:space="preserve">CT Table </v>
      </c>
      <c r="Y20" s="603"/>
      <c r="Z20" s="587" t="str">
        <f>L22</f>
        <v xml:space="preserve">CT Table </v>
      </c>
      <c r="AA20" s="588"/>
      <c r="AB20" s="603" t="str">
        <f>J27</f>
        <v xml:space="preserve">CT Table </v>
      </c>
      <c r="AC20" s="603"/>
      <c r="AD20" s="587" t="str">
        <f>L27</f>
        <v xml:space="preserve">CT Table </v>
      </c>
      <c r="AE20" s="588"/>
      <c r="AF20" s="6"/>
      <c r="AG20" s="22"/>
      <c r="AH20" s="22"/>
      <c r="AI20" s="22"/>
      <c r="AJ20" s="22"/>
      <c r="AK20" s="22"/>
      <c r="AL20" s="22"/>
      <c r="AM20" s="22"/>
      <c r="AN20" s="6"/>
      <c r="AO20" s="7"/>
      <c r="AQ20" s="28"/>
      <c r="AR20" s="6"/>
      <c r="AS20" s="6"/>
      <c r="AT20" s="6"/>
      <c r="AU20" s="6"/>
      <c r="AV20" s="586" t="s">
        <v>486</v>
      </c>
      <c r="AW20" s="586"/>
      <c r="AX20" s="586"/>
      <c r="AY20" s="586"/>
      <c r="AZ20" s="6"/>
      <c r="BA20" s="6"/>
      <c r="BB20" s="6"/>
      <c r="BC20" s="6"/>
      <c r="BD20" s="6"/>
      <c r="BE20" s="6"/>
      <c r="BF20" s="7"/>
      <c r="BH20" s="28"/>
      <c r="BI20" s="6"/>
      <c r="BJ20" s="6"/>
      <c r="BK20" s="6"/>
      <c r="BL20" s="6"/>
      <c r="BM20" s="586" t="s">
        <v>496</v>
      </c>
      <c r="BN20" s="586"/>
      <c r="BO20" s="586"/>
      <c r="BP20" s="586"/>
      <c r="BQ20" s="6"/>
      <c r="BR20" s="6"/>
      <c r="BS20" s="7"/>
      <c r="BT20" s="6"/>
      <c r="BU20" s="28"/>
      <c r="BV20" s="6"/>
      <c r="BW20" s="6"/>
      <c r="BX20" s="6"/>
      <c r="BY20" s="6"/>
      <c r="BZ20" s="586" t="s">
        <v>503</v>
      </c>
      <c r="CA20" s="586"/>
      <c r="CB20" s="586"/>
      <c r="CC20" s="586"/>
      <c r="CD20" s="6"/>
      <c r="CE20" s="6"/>
      <c r="CF20" s="7"/>
      <c r="CH20" s="28"/>
      <c r="CI20" s="6"/>
      <c r="CJ20" s="6"/>
      <c r="CK20" s="6"/>
      <c r="CL20" s="6"/>
      <c r="CM20" s="586" t="s">
        <v>511</v>
      </c>
      <c r="CN20" s="586"/>
      <c r="CO20" s="586"/>
      <c r="CP20" s="586"/>
      <c r="CQ20" s="6"/>
      <c r="CR20" s="6"/>
      <c r="CS20" s="7"/>
      <c r="CU20" s="28" t="s">
        <v>446</v>
      </c>
      <c r="CV20" s="43" t="str">
        <f>IF(OR(MicrocystinR="",'CT Worksheet'!$B12&lt;&gt;"Cl2 (free)"),"",IF(MicrocystinR&lt;=10,1,IF(MicrocystinR&lt;=50,2,3)))</f>
        <v/>
      </c>
      <c r="CW20" s="190">
        <f>IF(CV20=2,((50-MicrocystinR)/40),IF(CV20=3,((100-MicrocystinR)/50),IF(CV21=0,(10-MicrocystinR)/10,0)))</f>
        <v>0</v>
      </c>
      <c r="CX20" s="6"/>
      <c r="CY20" s="6"/>
      <c r="CZ20" s="211" t="str">
        <f>'CT Worksheet'!Q10</f>
        <v>Clearwell</v>
      </c>
      <c r="DA20" s="12"/>
      <c r="DB20" s="12"/>
      <c r="DC20" s="12"/>
      <c r="DD20" s="564"/>
      <c r="DE20" s="564"/>
      <c r="DF20" s="6"/>
      <c r="DG20" s="6"/>
      <c r="DH20" s="22"/>
      <c r="DI20" s="6"/>
      <c r="DL20" s="28"/>
      <c r="DM20" s="6"/>
      <c r="DN20" s="6"/>
      <c r="DO20" s="7"/>
    </row>
    <row r="21" spans="1:119" ht="13.5" thickBot="1" x14ac:dyDescent="0.25">
      <c r="A21" s="28" t="s">
        <v>447</v>
      </c>
      <c r="B21" s="12" t="str">
        <f>IF(B20="","",IF(B20&gt;=2,B20-1,IF('CT Worksheet'!S3&lt;0.5,0,1)))</f>
        <v/>
      </c>
      <c r="C21" s="6"/>
      <c r="D21" s="6"/>
      <c r="E21" s="6"/>
      <c r="F21" s="22"/>
      <c r="G21" s="6"/>
      <c r="H21" s="6"/>
      <c r="I21" s="6"/>
      <c r="J21" s="39" t="e">
        <f>VLOOKUP(B21,[0]!Categories,2,FALSE)</f>
        <v>#N/A</v>
      </c>
      <c r="K21" s="39" t="e">
        <f>VLOOKUP(B20,[0]!Categories,2,FALSE)</f>
        <v>#N/A</v>
      </c>
      <c r="L21" s="38" t="e">
        <f>J21</f>
        <v>#N/A</v>
      </c>
      <c r="M21" s="39" t="e">
        <f>K21</f>
        <v>#N/A</v>
      </c>
      <c r="N21" s="6"/>
      <c r="O21" s="39" t="e">
        <f>J21</f>
        <v>#N/A</v>
      </c>
      <c r="P21" s="39" t="e">
        <f>K21</f>
        <v>#N/A</v>
      </c>
      <c r="Q21" s="24" t="str">
        <f>CONCATENATE(logGiardiaR,"-log")</f>
        <v>-log</v>
      </c>
      <c r="R21" s="6"/>
      <c r="S21" s="24" t="str">
        <f>CONCATENATE('CT Worksheet'!C11,'CT Worksheet'!D11)</f>
        <v/>
      </c>
      <c r="T21" s="26" t="str">
        <f>CONCATENATE('CT Worksheet'!C12,'CT Worksheet'!D12)</f>
        <v/>
      </c>
      <c r="U21" s="7"/>
      <c r="V21" s="28"/>
      <c r="W21" s="22" t="s">
        <v>150</v>
      </c>
      <c r="X21" s="49" t="e">
        <f>J21</f>
        <v>#N/A</v>
      </c>
      <c r="Y21" s="50" t="e">
        <f>K21</f>
        <v>#N/A</v>
      </c>
      <c r="Z21" s="49" t="e">
        <f>L21</f>
        <v>#N/A</v>
      </c>
      <c r="AA21" s="51" t="e">
        <f>M21</f>
        <v>#N/A</v>
      </c>
      <c r="AB21" s="50" t="e">
        <f>J21</f>
        <v>#N/A</v>
      </c>
      <c r="AC21" s="50" t="e">
        <f>K21</f>
        <v>#N/A</v>
      </c>
      <c r="AD21" s="49" t="e">
        <f>L21</f>
        <v>#N/A</v>
      </c>
      <c r="AE21" s="51" t="e">
        <f>M21</f>
        <v>#N/A</v>
      </c>
      <c r="AF21" s="6"/>
      <c r="AG21" s="81" t="e">
        <f>X21</f>
        <v>#N/A</v>
      </c>
      <c r="AH21" s="22" t="e">
        <f>Y21</f>
        <v>#N/A</v>
      </c>
      <c r="AI21" s="22" t="e">
        <f>AB21</f>
        <v>#N/A</v>
      </c>
      <c r="AJ21" s="22" t="e">
        <f>AE21</f>
        <v>#N/A</v>
      </c>
      <c r="AK21" s="22"/>
      <c r="AL21" s="22" t="e">
        <f>AG21</f>
        <v>#N/A</v>
      </c>
      <c r="AM21" s="22" t="e">
        <f>AH21</f>
        <v>#N/A</v>
      </c>
      <c r="AN21" s="26" t="str">
        <f>Q21</f>
        <v>-log</v>
      </c>
      <c r="AO21" s="7"/>
      <c r="AQ21" s="28"/>
      <c r="AR21" s="6"/>
      <c r="AS21" s="6" t="s">
        <v>50</v>
      </c>
      <c r="AT21" s="6"/>
      <c r="AU21" s="6"/>
      <c r="AV21" s="569" t="str">
        <f>F20</f>
        <v>Clearwell</v>
      </c>
      <c r="AW21" s="569"/>
      <c r="AX21" s="569"/>
      <c r="AY21" s="569"/>
      <c r="AZ21" s="6"/>
      <c r="BA21" s="586" t="s">
        <v>56</v>
      </c>
      <c r="BB21" s="586"/>
      <c r="BC21" s="22" t="s">
        <v>57</v>
      </c>
      <c r="BD21" s="6"/>
      <c r="BE21" s="22" t="s">
        <v>58</v>
      </c>
      <c r="BF21" s="7"/>
      <c r="BH21" s="28"/>
      <c r="BI21" s="6"/>
      <c r="BJ21" s="6" t="s">
        <v>50</v>
      </c>
      <c r="BK21" s="6"/>
      <c r="BL21" s="6"/>
      <c r="BM21" s="569" t="str">
        <f>F20</f>
        <v>Clearwell</v>
      </c>
      <c r="BN21" s="569"/>
      <c r="BO21" s="569"/>
      <c r="BP21" s="569"/>
      <c r="BQ21" s="6"/>
      <c r="BR21" s="6"/>
      <c r="BS21" s="7"/>
      <c r="BT21" s="22"/>
      <c r="BU21" s="28"/>
      <c r="BV21" s="6"/>
      <c r="BW21" s="6" t="s">
        <v>50</v>
      </c>
      <c r="BX21" s="6"/>
      <c r="BY21" s="6"/>
      <c r="BZ21" s="569" t="str">
        <f>F20</f>
        <v>Clearwell</v>
      </c>
      <c r="CA21" s="569"/>
      <c r="CB21" s="569"/>
      <c r="CC21" s="569"/>
      <c r="CD21" s="6"/>
      <c r="CE21" s="6"/>
      <c r="CF21" s="7"/>
      <c r="CH21" s="28"/>
      <c r="CI21" s="6"/>
      <c r="CJ21" s="6" t="s">
        <v>50</v>
      </c>
      <c r="CK21" s="6"/>
      <c r="CL21" s="6"/>
      <c r="CM21" s="569" t="str">
        <f>F20</f>
        <v>Clearwell</v>
      </c>
      <c r="CN21" s="569"/>
      <c r="CO21" s="569"/>
      <c r="CP21" s="569"/>
      <c r="CQ21" s="6"/>
      <c r="CR21" s="6"/>
      <c r="CS21" s="7"/>
      <c r="CU21" s="28" t="s">
        <v>447</v>
      </c>
      <c r="CV21" s="12" t="str">
        <f>IF(CV20="","",IF(MicrocystinR&lt;10,0,IF(CV20&gt;2,CV20-1,1)))</f>
        <v/>
      </c>
      <c r="CW21" s="12"/>
      <c r="CX21" s="6"/>
      <c r="CY21" s="6"/>
      <c r="CZ21" s="22"/>
      <c r="DA21" s="6"/>
      <c r="DB21" s="12"/>
      <c r="DC21" s="12"/>
      <c r="DD21" s="143"/>
      <c r="DE21" s="143"/>
      <c r="DF21" s="143"/>
      <c r="DG21" s="143"/>
      <c r="DH21" s="12"/>
      <c r="DI21" s="143"/>
      <c r="DJ21" s="143"/>
      <c r="DK21" s="211"/>
      <c r="DL21" s="235"/>
      <c r="DM21" s="211"/>
      <c r="DN21" s="409"/>
      <c r="DO21" s="7"/>
    </row>
    <row r="22" spans="1:119" ht="13.5" thickBot="1" x14ac:dyDescent="0.25">
      <c r="A22" s="28" t="s">
        <v>69</v>
      </c>
      <c r="B22" s="6" t="str">
        <f>IF(ph_1="","",IF(ph_1&lt;=6,1,IF(ph_1&lt;=6.5,2,IF(ph_1&lt;=7,3,IF(ph_1&lt;=7.5,4,IF(ph_1&lt;=8,5,IF(ph_1&lt;=8.5,6,IF(ph_1&lt;=9,7,8))))))))</f>
        <v/>
      </c>
      <c r="C22" s="44">
        <f>IF(B22=2,((6.5-ph_1)/0.5),IF(B22=3,((7-ph_1)/0.5),IF(B22=4,((7.5-ph_1)/0.5),IF(B22=5,((8-ph_1)/0.5),IF(B22=6,((8.5-ph_1)/0.5),IF(B22=7,((9-ph_1)/0.5),0))))))</f>
        <v>0</v>
      </c>
      <c r="D22" s="6"/>
      <c r="E22" s="6"/>
      <c r="F22" s="22"/>
      <c r="G22" s="6"/>
      <c r="H22" s="6"/>
      <c r="I22" s="6"/>
      <c r="J22" s="608" t="str">
        <f>CONCATENATE("CT Table ",F31)</f>
        <v xml:space="preserve">CT Table </v>
      </c>
      <c r="K22" s="609"/>
      <c r="L22" s="614" t="str">
        <f>CONCATENATE("CT Table ",F32)</f>
        <v xml:space="preserve">CT Table </v>
      </c>
      <c r="M22" s="615"/>
      <c r="N22" s="6"/>
      <c r="O22" s="6"/>
      <c r="P22" s="6"/>
      <c r="Q22" s="6"/>
      <c r="R22" s="6"/>
      <c r="S22" s="6"/>
      <c r="T22" s="6"/>
      <c r="U22" s="7"/>
      <c r="V22" s="28"/>
      <c r="W22" s="57">
        <v>0.4</v>
      </c>
      <c r="X22" s="75" t="str">
        <f>IF(E31="","",HLOOKUP(E31,CTtable,2,FALSE))</f>
        <v/>
      </c>
      <c r="Y22" s="22" t="str">
        <f>IF(D31="","",HLOOKUP(D31,CTtable,2,FALSE))</f>
        <v/>
      </c>
      <c r="Z22" s="75" t="str">
        <f>IF(E32="","",HLOOKUP(E32,CTtable,2,FALSE))</f>
        <v/>
      </c>
      <c r="AA22" s="73" t="str">
        <f>IF(D32="","",HLOOKUP(D32,CTtable,2,FALSE))</f>
        <v/>
      </c>
      <c r="AB22" s="75" t="str">
        <f>IF(E33="","",HLOOKUP(E33,CTtable,2,FALSE))</f>
        <v/>
      </c>
      <c r="AC22" s="22" t="str">
        <f>IF(D33="","",HLOOKUP(D33,CTtable,2,FALSE))</f>
        <v/>
      </c>
      <c r="AD22" s="75" t="str">
        <f>IF(E34="","",HLOOKUP(E34,CTtable,2,FALSE))</f>
        <v/>
      </c>
      <c r="AE22" s="73" t="str">
        <f>IF(D34="","",HLOOKUP(D34,CTtable,2,FALSE))</f>
        <v/>
      </c>
      <c r="AF22" s="6"/>
      <c r="AG22" s="63" t="str">
        <f>IF(OR(X22="",Z22=""),"",Z22-((Z22-X22)*pH1fraction))</f>
        <v/>
      </c>
      <c r="AH22" s="64" t="str">
        <f>IF(OR(Y22="",AA22=""),"",AA22-((AA22-Y22)*pH1fraction))</f>
        <v/>
      </c>
      <c r="AI22" s="63" t="str">
        <f>IF(OR(AB22="",AD22=""),"",AD22-((AD22-AB22)*pH1fraction))</f>
        <v/>
      </c>
      <c r="AJ22" s="77" t="str">
        <f>IF(OR(AC22="",AE22=""),"",AE22-((AE22-AC22)*pH1fraction))</f>
        <v/>
      </c>
      <c r="AK22" s="22"/>
      <c r="AL22" s="63" t="str">
        <f>IF(OR(AG22="",AI22=""),"",AI22-((AI22-AG22)*Temp1fraction))</f>
        <v/>
      </c>
      <c r="AM22" s="64" t="str">
        <f>IF(OR(AH22="",AJ22=""),"",AJ22-((AJ22-AH22)*Temp1fraction))</f>
        <v/>
      </c>
      <c r="AN22" s="65" t="str">
        <f>IF(OR(AL22="",AM22=""),"",AM22-((AM22-AL22)*logIfraction))</f>
        <v/>
      </c>
      <c r="AO22" s="7"/>
      <c r="AQ22" s="28" t="s">
        <v>460</v>
      </c>
      <c r="AR22" s="6" t="str">
        <f>IF(OR(logVirusR="",'CT Worksheet'!B12&lt;&gt;"Cl2 (free)"),"",IF(logVirusR&lt;=2,1,IF(logVirusR&lt;=3,2,IF(logVirusR&lt;=4,3,4))))</f>
        <v/>
      </c>
      <c r="AS22" s="190">
        <f>IF(AR22=2,(3-logVirusR)/1,IF(AR22=3,(4-logVirusR)/1,IF(AR23=0,(2-logVirusR)/2,0)))</f>
        <v>0</v>
      </c>
      <c r="AT22" s="6"/>
      <c r="AU22" s="6"/>
      <c r="AV22" s="6"/>
      <c r="AW22" s="6"/>
      <c r="AX22" s="6"/>
      <c r="AY22" s="6"/>
      <c r="AZ22" s="6"/>
      <c r="BA22" s="6"/>
      <c r="BB22" s="6"/>
      <c r="BC22" s="6"/>
      <c r="BD22" s="6"/>
      <c r="BE22" s="6"/>
      <c r="BF22" s="7"/>
      <c r="BH22" s="28" t="s">
        <v>493</v>
      </c>
      <c r="BI22" s="217" t="str">
        <f>IF(OR(logGiardiaR="",'CT Worksheet'!B12&lt;&gt;"Chlorine Dioxide"),"",IF(logGiardiaR&lt;=0.5,1,IF(logGiardiaR&lt;=1,2,IF(logGiardiaR&lt;=1.5,3,IF(logGiardiaR&lt;=2,4,IF(logGiardiaR&lt;=2.5,5,6))))))</f>
        <v/>
      </c>
      <c r="BJ22" s="190">
        <f>IF(BI22=2,((1-logGiardiaR)/0.5),IF(BI22=3,((1.5-logGiardiaR)/0.5),IF(BI22=4,((2-logGiardiaR)/0.5),IF(BI22=5,((2.5-logGiardiaR)/0.5),IF(BI22=6,((3-logGiardiaR)/0.5),IF(BI23=0,(0.5-logGiardiaR)/0.5,0))))))</f>
        <v>0</v>
      </c>
      <c r="BK22" s="6"/>
      <c r="BL22" s="6"/>
      <c r="BM22" s="6"/>
      <c r="BN22" s="6"/>
      <c r="BO22" s="6"/>
      <c r="BP22" s="586" t="s">
        <v>498</v>
      </c>
      <c r="BQ22" s="586"/>
      <c r="BR22" s="586"/>
      <c r="BS22" s="224"/>
      <c r="BT22" s="6"/>
      <c r="BU22" s="28" t="s">
        <v>504</v>
      </c>
      <c r="BV22" s="217" t="str">
        <f>IF(OR(logGiardiaR="",'CT Worksheet'!B12&lt;&gt;"Ozone"),"",IF(logGiardiaR&lt;=0.5,1,IF(logGiardiaR&lt;=1,2,IF(logGiardiaR&lt;=1.5,3,IF(logGiardiaR&lt;=2,4,IF(logGiardiaR&lt;=2.5,5,6))))))</f>
        <v/>
      </c>
      <c r="BW22" s="190">
        <f>IF(BV22=2,((1-logGiardiaR)/0.5),IF(BV22=3,((1.5-logGiardiaR)/0.5),IF(BV22=4,((2-logGiardiaR)/0.5),IF(BV22=5,((2.5-logGiardiaR)/0.5),IF(BV22=6,((3-logGiardiaR)/0.5),IF(BV23=0,(0.5-logGiardiaR)/0.5,0))))))</f>
        <v>0</v>
      </c>
      <c r="BX22" s="6"/>
      <c r="BY22" s="6"/>
      <c r="BZ22" s="6"/>
      <c r="CA22" s="6"/>
      <c r="CB22" s="6"/>
      <c r="CC22" s="586" t="s">
        <v>498</v>
      </c>
      <c r="CD22" s="586"/>
      <c r="CE22" s="586"/>
      <c r="CF22" s="224"/>
      <c r="CH22" s="28" t="s">
        <v>508</v>
      </c>
      <c r="CI22" s="217" t="str">
        <f>IF(OR(logGiardiaR="",'CT Worksheet'!B12&lt;&gt;"Chloramine"),"",IF(logGiardiaR&lt;=0.5,1,IF(logGiardiaR&lt;=1,2,IF(logGiardiaR&lt;=1.5,3,IF(logGiardiaR&lt;=2,4,IF(logGiardiaR&lt;=2.5,5,6))))))</f>
        <v/>
      </c>
      <c r="CJ22" s="190">
        <f>IF(CI22=2,((1-logGiardiaR)/0.5),IF(CI22=3,((1.5-logGiardiaR)/0.5),IF(CI22=4,((2-logGiardiaR)/0.5),IF(CI22=5,((2.5-logGiardiaR)/0.5),IF(CI22=6,((3-logGiardiaR)/0.5),IF(CI23=0,(0.5-logGiardiaR)/0.5,0))))))</f>
        <v>0</v>
      </c>
      <c r="CK22" s="6"/>
      <c r="CL22" s="6"/>
      <c r="CM22" s="6"/>
      <c r="CN22" s="6"/>
      <c r="CO22" s="6"/>
      <c r="CP22" s="586" t="s">
        <v>498</v>
      </c>
      <c r="CQ22" s="586"/>
      <c r="CR22" s="586"/>
      <c r="CS22" s="224"/>
      <c r="CU22" s="28" t="s">
        <v>69</v>
      </c>
      <c r="CV22" s="6" t="str">
        <f>IF(ph_1="","",IF(ph_1&lt;=6,1,IF(ph_1&lt;=7,2,IF(ph_1&lt;=8,3,IF(ph_1&lt;=9,4,0)))))</f>
        <v/>
      </c>
      <c r="CW22" s="190">
        <f>IF(CV22=2,((7-ph_1)/1),IF(CV22=3,((8-ph_1)/1),IF(CV22=4,((9-ph_1)/1),0)))</f>
        <v>0</v>
      </c>
      <c r="CX22" s="6"/>
      <c r="CY22" s="6"/>
      <c r="CZ22" s="6"/>
      <c r="DA22" s="565" t="s">
        <v>443</v>
      </c>
      <c r="DB22" s="565"/>
      <c r="DC22" s="565"/>
      <c r="DD22" s="565"/>
      <c r="DE22" s="6"/>
      <c r="DF22" s="6"/>
      <c r="DG22" s="6"/>
      <c r="DH22" s="6"/>
      <c r="DI22" s="6"/>
      <c r="DJ22" s="6"/>
      <c r="DK22" s="241"/>
      <c r="DL22" s="440"/>
      <c r="DM22" s="410" t="s">
        <v>660</v>
      </c>
      <c r="DN22" s="441" t="str">
        <f>IF(AND('CT Worksheet'!B12="Ozone",F4&lt;&gt;""),1,"")</f>
        <v/>
      </c>
      <c r="DO22" s="7"/>
    </row>
    <row r="23" spans="1:119" ht="13.5" thickBot="1" x14ac:dyDescent="0.25">
      <c r="A23" s="28" t="s">
        <v>74</v>
      </c>
      <c r="B23" s="6" t="str">
        <f>IF(B22="","",IF(B22&gt;=2,B22-1,1))</f>
        <v/>
      </c>
      <c r="C23" s="6"/>
      <c r="D23" s="6"/>
      <c r="E23" s="6"/>
      <c r="F23" s="22"/>
      <c r="G23" s="6"/>
      <c r="H23" s="6"/>
      <c r="I23" s="45" t="e">
        <f>CONCATENATE(VLOOKUP(B27,CL2Category,2,FALSE)," mg/l")</f>
        <v>#N/A</v>
      </c>
      <c r="J23" s="61" t="str">
        <f>IF(OR(F4="",E31=""),"",HLOOKUP(E31,CTtable,B27+1,FALSE))</f>
        <v/>
      </c>
      <c r="K23" s="42" t="str">
        <f>IF(OR(F4="",D31=""),"",HLOOKUP(D31,CTtable,B27+1,FALSE))</f>
        <v/>
      </c>
      <c r="L23" s="62" t="str">
        <f>IF(OR(F4="",E32=""),"",HLOOKUP(E32,CTtable,B27+1,FALSE))</f>
        <v/>
      </c>
      <c r="M23" s="72" t="str">
        <f>IF(OR(F4="",D32=""),"",HLOOKUP(D32,CTtable,B27+1,FALSE))</f>
        <v/>
      </c>
      <c r="N23" s="22"/>
      <c r="O23" s="63" t="str">
        <f>IF(OR(J23="",L23=""),"",L23-((L23-J23)*C22))</f>
        <v/>
      </c>
      <c r="P23" s="64" t="str">
        <f>IF(OR(M23="",M23=""),"",M23-((M23-K23)*C22))</f>
        <v/>
      </c>
      <c r="Q23" s="65" t="str">
        <f>IF(OR(P23="",O23=""),"",P23-((P23-O23)*C20))</f>
        <v/>
      </c>
      <c r="R23" s="22"/>
      <c r="S23" s="65" t="str">
        <f>IF(OR(Q28="",Q23=""),"",Q28-((Q28-Q23)*C24))</f>
        <v/>
      </c>
      <c r="T23" s="66" t="str">
        <f>IF(OR(S24="",S23=""),"",S24-((S24-S23)*C26))</f>
        <v/>
      </c>
      <c r="U23" s="7"/>
      <c r="V23" s="28"/>
      <c r="W23" s="58">
        <v>0.6</v>
      </c>
      <c r="X23" s="75" t="str">
        <f>IF(E31="","",HLOOKUP(E31,CTtable,3,FALSE))</f>
        <v/>
      </c>
      <c r="Y23" s="22" t="str">
        <f>IF(D31="","",HLOOKUP(D31,CTtable,3,FALSE))</f>
        <v/>
      </c>
      <c r="Z23" s="75" t="str">
        <f>IF(E32="","",HLOOKUP(E32,CTtable,3,FALSE))</f>
        <v/>
      </c>
      <c r="AA23" s="73" t="str">
        <f>IF(D32="","",HLOOKUP(D32,CTtable,3,FALSE))</f>
        <v/>
      </c>
      <c r="AB23" s="75" t="str">
        <f>IF(E33="","",HLOOKUP(E33,CTtable,3,FALSE))</f>
        <v/>
      </c>
      <c r="AC23" s="22" t="str">
        <f>IF(D33="","",HLOOKUP(D33,CTtable,3,FALSE))</f>
        <v/>
      </c>
      <c r="AD23" s="75" t="str">
        <f>IF(E34="","",HLOOKUP(E34,CTtable,3,FALSE))</f>
        <v/>
      </c>
      <c r="AE23" s="73" t="str">
        <f>IF(D34="","",HLOOKUP(D34,CTtable,3,FALSE))</f>
        <v/>
      </c>
      <c r="AF23" s="6"/>
      <c r="AG23" s="78" t="str">
        <f t="shared" ref="AG23:AH35" si="10">IF(OR(X23="",Z23=""),"",Z23-((Z23-X23)*pH1fraction))</f>
        <v/>
      </c>
      <c r="AH23" s="76" t="str">
        <f t="shared" si="10"/>
        <v/>
      </c>
      <c r="AI23" s="78" t="str">
        <f t="shared" ref="AI23:AI35" si="11">IF(OR(AB23="",AD23=""),"",AD23-((AD23-AB23)*pH1fraction))</f>
        <v/>
      </c>
      <c r="AJ23" s="79" t="str">
        <f t="shared" ref="AJ23:AJ35" si="12">IF(OR(AC23="",AE23=""),"",AE23-((AE23-AC23)*pH1fraction))</f>
        <v/>
      </c>
      <c r="AK23" s="22"/>
      <c r="AL23" s="78" t="str">
        <f t="shared" ref="AL23:AL35" si="13">IF(OR(AG23="",AI23=""),"",AI23-((AI23-AG23)*Temp1fraction))</f>
        <v/>
      </c>
      <c r="AM23" s="76" t="str">
        <f t="shared" ref="AM23:AM35" si="14">IF(OR(AH23="",AJ23=""),"",AJ23-((AJ23-AH23)*Temp1fraction))</f>
        <v/>
      </c>
      <c r="AN23" s="82" t="str">
        <f t="shared" ref="AN23:AN35" si="15">IF(OR(AL23="",AM23=""),"",AM23-((AM23-AL23)*logIfraction))</f>
        <v/>
      </c>
      <c r="AO23" s="7"/>
      <c r="AQ23" s="28" t="s">
        <v>461</v>
      </c>
      <c r="AR23" s="6" t="str">
        <f>IF(AR22="","",IF(AR22&gt;=2,AR22-1,IF(logVirusR&lt;2,0,1)))</f>
        <v/>
      </c>
      <c r="AS23" s="6"/>
      <c r="AT23" s="6"/>
      <c r="AU23" s="6"/>
      <c r="AV23" s="565" t="s">
        <v>443</v>
      </c>
      <c r="AW23" s="565"/>
      <c r="AX23" s="565"/>
      <c r="AY23" s="565"/>
      <c r="AZ23" s="6"/>
      <c r="BA23" s="6"/>
      <c r="BB23" s="6"/>
      <c r="BC23" s="6"/>
      <c r="BD23" s="6"/>
      <c r="BE23" s="6"/>
      <c r="BF23" s="7"/>
      <c r="BH23" s="28" t="s">
        <v>494</v>
      </c>
      <c r="BI23" s="218" t="str">
        <f>IF(BI22="","",IF(BI22&gt;=2,BI22-1,IF(logGiardiaR&lt;0.5,0,1)))</f>
        <v/>
      </c>
      <c r="BJ23" s="6"/>
      <c r="BK23" s="6"/>
      <c r="BL23" s="6"/>
      <c r="BM23" s="565" t="s">
        <v>495</v>
      </c>
      <c r="BN23" s="565"/>
      <c r="BO23" s="212"/>
      <c r="BP23" s="147" t="s">
        <v>497</v>
      </c>
      <c r="BQ23" s="147"/>
      <c r="BR23" s="22" t="s">
        <v>58</v>
      </c>
      <c r="BS23" s="7"/>
      <c r="BT23" s="6"/>
      <c r="BU23" s="28" t="s">
        <v>505</v>
      </c>
      <c r="BV23" s="218" t="str">
        <f>IF(BV22="","",IF(BV22&gt;=2,BV22-1,IF(logGiardiaR&lt;0.5,0,1)))</f>
        <v/>
      </c>
      <c r="BW23" s="6"/>
      <c r="BX23" s="6"/>
      <c r="BY23" s="6"/>
      <c r="BZ23" s="565" t="s">
        <v>495</v>
      </c>
      <c r="CA23" s="565"/>
      <c r="CB23" s="212"/>
      <c r="CC23" s="147" t="s">
        <v>497</v>
      </c>
      <c r="CD23" s="147"/>
      <c r="CE23" s="22" t="s">
        <v>58</v>
      </c>
      <c r="CF23" s="7"/>
      <c r="CH23" s="28" t="s">
        <v>522</v>
      </c>
      <c r="CI23" s="218" t="str">
        <f>IF(CI22="","",IF(CI22&gt;=2,CI22-1,IF(logGiardiaR&lt;0.5,0,1)))</f>
        <v/>
      </c>
      <c r="CJ23" s="6"/>
      <c r="CK23" s="6"/>
      <c r="CL23" s="6"/>
      <c r="CM23" s="565" t="s">
        <v>495</v>
      </c>
      <c r="CN23" s="565"/>
      <c r="CO23" s="212"/>
      <c r="CP23" s="147" t="s">
        <v>497</v>
      </c>
      <c r="CQ23" s="147"/>
      <c r="CR23" s="22" t="s">
        <v>58</v>
      </c>
      <c r="CS23" s="7"/>
      <c r="CU23" s="28" t="s">
        <v>74</v>
      </c>
      <c r="CV23" s="12" t="str">
        <f>IF(CV22="","",IF(CV22=0,0,IF(CV22&gt;=2,CV22-1,1)))</f>
        <v/>
      </c>
      <c r="CW23" s="12"/>
      <c r="CX23" s="6"/>
      <c r="CY23" s="6"/>
      <c r="CZ23" s="6"/>
      <c r="DA23" s="22" t="e">
        <f>CONCATENATE(HLOOKUP(CX31,MicrocystinTable,2,FALSE)," ",'CT Tables'!$B$161)</f>
        <v>#N/A</v>
      </c>
      <c r="DB23" s="67" t="e">
        <f>CONCATENATE(HLOOKUP(CW31,MicrocystinTable,2,FALSE)," ",'CT Tables'!$B$161)</f>
        <v>#N/A</v>
      </c>
      <c r="DC23" s="60" t="e">
        <f>CONCATENATE(HLOOKUP(CX32,MicrocystinTable,2,FALSE)," ",'CT Tables'!$B$161)</f>
        <v>#N/A</v>
      </c>
      <c r="DD23" s="67" t="e">
        <f>CONCATENATE(HLOOKUP(CW32,MicrocystinTable,2,FALSE)," ",'CT Tables'!$B$161)</f>
        <v>#N/A</v>
      </c>
      <c r="DE23" s="6"/>
      <c r="DF23" s="22" t="e">
        <f>DA23</f>
        <v>#N/A</v>
      </c>
      <c r="DG23" s="22" t="e">
        <f>DB23</f>
        <v>#N/A</v>
      </c>
      <c r="DH23" s="24" t="str">
        <f>CONCATENATE(MicrocystinR," ug/l")</f>
        <v xml:space="preserve"> ug/l</v>
      </c>
      <c r="DI23" s="6"/>
      <c r="DJ23" s="24" t="str">
        <f>CONCATENATE('CT Worksheet'!C11,'CT Worksheet'!D11)</f>
        <v/>
      </c>
      <c r="DK23" s="241"/>
      <c r="DL23" s="440"/>
      <c r="DM23" s="241"/>
      <c r="DN23" s="241"/>
      <c r="DO23" s="7"/>
    </row>
    <row r="24" spans="1:119" ht="13.5" thickBot="1" x14ac:dyDescent="0.25">
      <c r="A24" s="28" t="s">
        <v>71</v>
      </c>
      <c r="B24" s="6" t="str">
        <f>IF(Temp1="","",IF(Temp1&lt;=0,"",IF(Temp1&lt;=0.5,1,IF(Temp1&lt;=5,2,IF(Temp1&lt;=10,3,IF(Temp1&lt;=15,4,IF(Temp1&lt;=20,5,6)))))))</f>
        <v/>
      </c>
      <c r="C24" s="44">
        <f>IF(B25=6,0,IF(B24=2,((5-Temp1)/4.5),IF(B24=3,((10-Temp1)/5),IF(B24=4,((15-Temp1)/5),IF(B24=5,((20-Temp1)/5),IF(B24=6,((25-Temp1)/5),0))))))</f>
        <v>0</v>
      </c>
      <c r="D24" s="6"/>
      <c r="E24" s="6"/>
      <c r="F24" s="22"/>
      <c r="G24" s="6"/>
      <c r="H24" s="6"/>
      <c r="I24" s="45" t="e">
        <f>CONCATENATE(VLOOKUP(B26,CL2Category,2,FALSE)," mg/l")</f>
        <v>#N/A</v>
      </c>
      <c r="J24" s="67" t="str">
        <f>IF(OR(F4="",E31=""),"",HLOOKUP(E31,CTtable,IF(B26=15,B26,B26+1),FALSE))</f>
        <v/>
      </c>
      <c r="K24" s="59" t="str">
        <f>IF(OR(F4="",D31=""),"",HLOOKUP(D31,CTtable,IF(B26=15,B26,B26+1),FALSE))</f>
        <v/>
      </c>
      <c r="L24" s="68" t="str">
        <f>IF(OR(F4="",E32=""),"",HLOOKUP(E32,CTtable,IF(B26=15,B26,B26+1),FALSE))</f>
        <v/>
      </c>
      <c r="M24" s="74" t="str">
        <f>IF(OR(F4="",D32=""),"",HLOOKUP(D32,CTtable,IF(B26=15,B26,B26+1),FALSE))</f>
        <v/>
      </c>
      <c r="N24" s="22"/>
      <c r="O24" s="69" t="str">
        <f>IF(OR(J24="",L24=""),"",L24-((L24-J24)*C22))</f>
        <v/>
      </c>
      <c r="P24" s="70" t="str">
        <f>IF(OR(M24="",M24=""),"",M24-((M24-K24)*C22))</f>
        <v/>
      </c>
      <c r="Q24" s="71" t="str">
        <f>IF(OR(P24="",O24=""),"",P24-((P24-O24)*C20))</f>
        <v/>
      </c>
      <c r="R24" s="22"/>
      <c r="S24" s="71" t="str">
        <f>IF(OR(Q29="",Q24=""),"",Q29-((Q29-Q24)*C24))</f>
        <v/>
      </c>
      <c r="T24" s="22"/>
      <c r="U24" s="7"/>
      <c r="V24" s="28"/>
      <c r="W24" s="58">
        <v>0.8</v>
      </c>
      <c r="X24" s="75" t="str">
        <f>IF(E31="","",HLOOKUP(E31,CTtable,4,FALSE))</f>
        <v/>
      </c>
      <c r="Y24" s="22" t="str">
        <f>IF(D31="","",HLOOKUP(D31,CTtable,4,FALSE))</f>
        <v/>
      </c>
      <c r="Z24" s="75" t="str">
        <f>IF(E32="","",HLOOKUP(E32,CTtable,4,FALSE))</f>
        <v/>
      </c>
      <c r="AA24" s="73" t="str">
        <f>IF(D32="","",HLOOKUP(D32,CTtable,4,FALSE))</f>
        <v/>
      </c>
      <c r="AB24" s="75" t="str">
        <f>IF(E33="","",HLOOKUP(E33,CTtable,4,FALSE))</f>
        <v/>
      </c>
      <c r="AC24" s="22" t="str">
        <f>IF(D33="","",HLOOKUP(D33,CTtable,4,FALSE))</f>
        <v/>
      </c>
      <c r="AD24" s="75" t="str">
        <f>IF(E34="","",HLOOKUP(E34,CTtable,4,FALSE))</f>
        <v/>
      </c>
      <c r="AE24" s="73" t="str">
        <f>IF(D34="","",HLOOKUP(D34,CTtable,4,FALSE))</f>
        <v/>
      </c>
      <c r="AF24" s="6"/>
      <c r="AG24" s="78" t="str">
        <f t="shared" si="10"/>
        <v/>
      </c>
      <c r="AH24" s="76" t="str">
        <f t="shared" si="10"/>
        <v/>
      </c>
      <c r="AI24" s="78" t="str">
        <f t="shared" si="11"/>
        <v/>
      </c>
      <c r="AJ24" s="79" t="str">
        <f t="shared" si="12"/>
        <v/>
      </c>
      <c r="AK24" s="22"/>
      <c r="AL24" s="78" t="str">
        <f t="shared" si="13"/>
        <v/>
      </c>
      <c r="AM24" s="76" t="str">
        <f t="shared" si="14"/>
        <v/>
      </c>
      <c r="AN24" s="82" t="str">
        <f t="shared" si="15"/>
        <v/>
      </c>
      <c r="AO24" s="7"/>
      <c r="AQ24" s="28" t="s">
        <v>462</v>
      </c>
      <c r="AR24" s="6" t="str">
        <f>IF(ph_1="","",IF(ph_1&lt;=9,1,IF(ph_1&lt;=10,2,3)))</f>
        <v/>
      </c>
      <c r="AS24" s="44">
        <f>IF(AR24=2,((10-ph_1)/1),0)</f>
        <v>0</v>
      </c>
      <c r="AT24" s="6"/>
      <c r="AU24" s="6"/>
      <c r="AV24" s="22" t="e">
        <f>HLOOKUP(AT30,VirusCTtable,2,FALSE)</f>
        <v>#N/A</v>
      </c>
      <c r="AW24" s="67" t="e">
        <f>HLOOKUP(AS30,VirusCTtable,2,FALSE)</f>
        <v>#N/A</v>
      </c>
      <c r="AX24" s="60" t="e">
        <f>HLOOKUP(AT31,VirusCTtable,2,FALSE)</f>
        <v>#N/A</v>
      </c>
      <c r="AY24" s="67" t="e">
        <f>HLOOKUP(AS31,VirusCTtable,2,FALSE)</f>
        <v>#N/A</v>
      </c>
      <c r="AZ24" s="6"/>
      <c r="BA24" s="22" t="e">
        <f>AV24</f>
        <v>#N/A</v>
      </c>
      <c r="BB24" s="22" t="e">
        <f>AW24</f>
        <v>#N/A</v>
      </c>
      <c r="BC24" s="24" t="str">
        <f>CONCATENATE('CT Worksheet'!S4,"-log")</f>
        <v>-log</v>
      </c>
      <c r="BD24" s="6"/>
      <c r="BE24" s="24" t="str">
        <f>CONCATENATE('CT Worksheet'!C11,'CT Worksheet'!D11)</f>
        <v/>
      </c>
      <c r="BF24" s="7"/>
      <c r="BH24" s="28" t="s">
        <v>491</v>
      </c>
      <c r="BI24" s="217" t="str">
        <f>IF(OR(logVirusR="",'CT Worksheet'!B12&lt;&gt;"Chlorine Dioxide"),"",IF(logVirusR&lt;=2,1,IF(logVirusR&lt;=3,2,IF(logVirusR&lt;=4,3,4))))</f>
        <v/>
      </c>
      <c r="BJ24" s="190">
        <f>IF(BI24=2,(3-logVirusR)/1,IF(BI24=3,(4-logVirusR)/1,IF(BI25=0,(2-logVirusR)/2,0)))</f>
        <v>0</v>
      </c>
      <c r="BK24" s="6"/>
      <c r="BL24" s="6"/>
      <c r="BM24" s="22" t="e">
        <f>HLOOKUP(BI23,ClOgTable,2,FALSE)</f>
        <v>#N/A</v>
      </c>
      <c r="BN24" s="22" t="e">
        <f>HLOOKUP(BI22,ClOgTable,2,FALSE)</f>
        <v>#N/A</v>
      </c>
      <c r="BO24" s="22"/>
      <c r="BP24" s="24" t="str">
        <f>CONCATENATE(logGiardiaR,"-log")</f>
        <v>-log</v>
      </c>
      <c r="BQ24" s="6"/>
      <c r="BR24" s="24" t="str">
        <f>CONCATENATE('CT Worksheet'!C11,'CT Worksheet'!D11)</f>
        <v/>
      </c>
      <c r="BS24" s="209"/>
      <c r="BU24" s="28" t="s">
        <v>506</v>
      </c>
      <c r="BV24" s="217" t="str">
        <f>IF(OR(logVirusR="",'CT Worksheet'!B12&lt;&gt;"Ozone"),"",IF(logVirusR&lt;=2,1,IF(logVirusR&lt;=3,2,IF(logVirusR&lt;=4,3,4))))</f>
        <v/>
      </c>
      <c r="BW24" s="190">
        <f>IF(BV24=2,(3-logVirusR)/1,IF(BV24=3,(4-logVirusR)/1,IF(BV25=0,(2-logVirusR)/2,0)))</f>
        <v>0</v>
      </c>
      <c r="BX24" s="6"/>
      <c r="BY24" s="6"/>
      <c r="BZ24" s="22" t="e">
        <f>HLOOKUP(BV23,O3gTable,2,FALSE)</f>
        <v>#N/A</v>
      </c>
      <c r="CA24" s="22" t="e">
        <f>HLOOKUP(BV22,O3gTable,2,FALSE)</f>
        <v>#N/A</v>
      </c>
      <c r="CB24" s="22"/>
      <c r="CC24" s="24" t="str">
        <f>CONCATENATE(logGiardiaR,"-log")</f>
        <v>-log</v>
      </c>
      <c r="CD24" s="6"/>
      <c r="CE24" s="24" t="str">
        <f>CONCATENATE('CT Worksheet'!C11,'CT Worksheet'!D11)</f>
        <v/>
      </c>
      <c r="CF24" s="209"/>
      <c r="CH24" s="28" t="s">
        <v>509</v>
      </c>
      <c r="CI24" s="217" t="str">
        <f>IF(OR(logVirusR="",'CT Worksheet'!B12&lt;&gt;"Chloramine"),"",IF(logVirusR&lt;=2,1,IF(logVirusR&lt;=3,2,IF(logVirusR&lt;=4,3,4))))</f>
        <v/>
      </c>
      <c r="CJ24" s="190">
        <f>IF(CI24=2,(3-logVirusR)/1,IF(CI24=3,(4-logVirusR)/1,IF(CI25=0,(2-logVirusR)/2,0)))</f>
        <v>0</v>
      </c>
      <c r="CK24" s="6"/>
      <c r="CL24" s="6"/>
      <c r="CM24" s="22" t="e">
        <f>HLOOKUP(CI23,ChloramineTableG,2,FALSE)</f>
        <v>#N/A</v>
      </c>
      <c r="CN24" s="22" t="e">
        <f>HLOOKUP(CI22,ChloramineTableG,2,FALSE)</f>
        <v>#N/A</v>
      </c>
      <c r="CO24" s="22"/>
      <c r="CP24" s="24" t="str">
        <f>CONCATENATE(logGiardiaR,"-log")</f>
        <v>-log</v>
      </c>
      <c r="CQ24" s="6"/>
      <c r="CR24" s="24" t="str">
        <f>CONCATENATE('CT Worksheet'!C11,'CT Worksheet'!D11)</f>
        <v/>
      </c>
      <c r="CS24" s="209"/>
      <c r="CU24" s="28" t="s">
        <v>71</v>
      </c>
      <c r="CV24" s="12" t="str">
        <f>IF(Temp1="","",IF(Temp1&lt;=0,"",IF(Temp1&lt;=10,1,IF(Temp1&lt;=15,2,IF(Temp1&lt;=20,3,4)))))</f>
        <v/>
      </c>
      <c r="CW24" s="190">
        <f>IF(CV25=4,0,IF(Temp1&gt;25,0,IF(CV24=2,((15-Temp1)/5),IF(CV24=3,((20-Temp1)/5),IF(CV24=4,((25-Temp1)/5),0)))))</f>
        <v>0</v>
      </c>
      <c r="CX24" s="6"/>
      <c r="CY24" s="6"/>
      <c r="CZ24" s="45" t="e">
        <f>CONCATENATE(VLOOKUP(CV25,MicrocystinTable,2,FALSE)," C")</f>
        <v>#N/A</v>
      </c>
      <c r="DA24" s="145" t="str">
        <f>IF(OR(F4="",CX31=""),"",HLOOKUP(CX31,MicrocystinTable,CV25+2,FALSE))</f>
        <v/>
      </c>
      <c r="DB24" s="61" t="str">
        <f>IF(OR(F4="",CW31=""),"",HLOOKUP(CW31,MicrocystinTable,CV25+2,FALSE))</f>
        <v/>
      </c>
      <c r="DC24" s="62" t="str">
        <f>IF(OR(F4="",CX32=""),"",HLOOKUP(CX32,MicrocystinTable,CV25+2,FALSE))</f>
        <v/>
      </c>
      <c r="DD24" s="434" t="str">
        <f>IF(OR(F4="",CW32=""),"",HLOOKUP(CW32,MicrocystinTable,CV25+2,FALSE))</f>
        <v/>
      </c>
      <c r="DE24" s="6"/>
      <c r="DF24" s="219" t="str">
        <f>IF(OR(DA24="",DC24=""),"",DC24-((DC24-DA24)*CW22))</f>
        <v/>
      </c>
      <c r="DG24" s="176" t="str">
        <f>IF(OR(DD24="",DD24=""),"",DD24-((DD24-DB24)*CW22))</f>
        <v/>
      </c>
      <c r="DH24" s="177" t="str">
        <f>IF(OR(DG24="",DF24=""),"",DG24-((DG24-DF24)*CW20))</f>
        <v/>
      </c>
      <c r="DI24" s="22"/>
      <c r="DJ24" s="182" t="str">
        <f>IF(OR(DH24="",DH25=""),"",DH25-((DH25-DH24)*CW24))</f>
        <v/>
      </c>
      <c r="DK24" s="241"/>
      <c r="DL24" s="440"/>
      <c r="DM24" s="241"/>
      <c r="DN24" s="241"/>
      <c r="DO24" s="7"/>
    </row>
    <row r="25" spans="1:119" ht="13.5" thickBot="1" x14ac:dyDescent="0.25">
      <c r="A25" s="28" t="s">
        <v>85</v>
      </c>
      <c r="B25" s="6" t="str">
        <f>IF(B24="","",IF(Temp1&gt;=25,6,IF(B24&gt;=2,B24-1,1)))</f>
        <v/>
      </c>
      <c r="C25" s="6"/>
      <c r="D25" s="6"/>
      <c r="E25" s="6"/>
      <c r="F25" s="22"/>
      <c r="G25" s="6"/>
      <c r="H25" s="40"/>
      <c r="I25" s="6"/>
      <c r="J25" s="566" t="e">
        <f>CONCATENATE("pH ",HLOOKUP(D31,CTtable,17,FALSE),", ",HLOOKUP(D31,CTtable,18,FALSE),"C")</f>
        <v>#N/A</v>
      </c>
      <c r="K25" s="567"/>
      <c r="L25" s="568" t="e">
        <f>CONCATENATE("pH ",HLOOKUP(D32,CTtable,17,FALSE),", ",HLOOKUP(D32,CTtable,18,FALSE),"C")</f>
        <v>#N/A</v>
      </c>
      <c r="M25" s="566"/>
      <c r="N25" s="22"/>
      <c r="O25" s="613" t="e">
        <f>CONCATENATE("pH ",'CT Worksheet'!C13,", ",HLOOKUP(D31,CTtable,18,FALSE),"C")</f>
        <v>#N/A</v>
      </c>
      <c r="P25" s="613"/>
      <c r="Q25" s="613"/>
      <c r="R25" s="22"/>
      <c r="S25" s="22"/>
      <c r="T25" s="22"/>
      <c r="U25" s="7"/>
      <c r="V25" s="28"/>
      <c r="W25" s="58">
        <v>1</v>
      </c>
      <c r="X25" s="75" t="str">
        <f>IF(E31="","",HLOOKUP(E31,CTtable,5,FALSE))</f>
        <v/>
      </c>
      <c r="Y25" s="22" t="str">
        <f>IF(D31="","",HLOOKUP(D31,CTtable,5,FALSE))</f>
        <v/>
      </c>
      <c r="Z25" s="75" t="str">
        <f>IF(E32="","",HLOOKUP(E32,CTtable,5,FALSE))</f>
        <v/>
      </c>
      <c r="AA25" s="73" t="str">
        <f>IF(D32="","",HLOOKUP(D32,CTtable,5,FALSE))</f>
        <v/>
      </c>
      <c r="AB25" s="75" t="str">
        <f>IF(E33="","",HLOOKUP(E33,CTtable,5,FALSE))</f>
        <v/>
      </c>
      <c r="AC25" s="22" t="str">
        <f>IF(D33="","",HLOOKUP(D33,CTtable,5,FALSE))</f>
        <v/>
      </c>
      <c r="AD25" s="75" t="str">
        <f>IF(E34="","",HLOOKUP(E34,CTtable,5,FALSE))</f>
        <v/>
      </c>
      <c r="AE25" s="73" t="str">
        <f>IF(D34="","",HLOOKUP(D34,CTtable,5,FALSE))</f>
        <v/>
      </c>
      <c r="AF25" s="6"/>
      <c r="AG25" s="78" t="str">
        <f t="shared" si="10"/>
        <v/>
      </c>
      <c r="AH25" s="76" t="str">
        <f t="shared" si="10"/>
        <v/>
      </c>
      <c r="AI25" s="78" t="str">
        <f t="shared" si="11"/>
        <v/>
      </c>
      <c r="AJ25" s="79" t="str">
        <f t="shared" si="12"/>
        <v/>
      </c>
      <c r="AK25" s="22"/>
      <c r="AL25" s="78" t="str">
        <f t="shared" si="13"/>
        <v/>
      </c>
      <c r="AM25" s="76" t="str">
        <f t="shared" si="14"/>
        <v/>
      </c>
      <c r="AN25" s="82" t="str">
        <f t="shared" si="15"/>
        <v/>
      </c>
      <c r="AO25" s="7"/>
      <c r="AQ25" s="28" t="s">
        <v>463</v>
      </c>
      <c r="AR25" s="6" t="str">
        <f>IF(AR24="","",IF(AR24&gt;=2,AR24-1,1))</f>
        <v/>
      </c>
      <c r="AS25" s="6"/>
      <c r="AT25" s="6"/>
      <c r="AU25" s="45" t="e">
        <f>CONCATENATE(VLOOKUP(AR27,VirusCTtable,2,FALSE)," C")</f>
        <v>#N/A</v>
      </c>
      <c r="AV25" s="145" t="str">
        <f>IF(OR(F4="",AT30=""),"",HLOOKUP(AT30,VirusCTtable,AR27+2,FALSE))</f>
        <v/>
      </c>
      <c r="AW25" s="61" t="str">
        <f>IF(OR(F4="",AS30=""),"",HLOOKUP(AS30,VirusCTtable,AR27+2,FALSE))</f>
        <v/>
      </c>
      <c r="AX25" s="62" t="str">
        <f>IF(OR(F4="",AT31=""),"",HLOOKUP(AT31,VirusCTtable,AR27+2,FALSE))</f>
        <v/>
      </c>
      <c r="AY25" s="172" t="str">
        <f>IF(OR(F4="",AS31=""),"",HLOOKUP(AS31,VirusCTtable,AR27+2,FALSE))</f>
        <v/>
      </c>
      <c r="AZ25" s="6"/>
      <c r="BA25" s="175" t="str">
        <f>IF(OR(AV25="",AX25=""),"",AX25-((AX25-AV25)*AS24))</f>
        <v/>
      </c>
      <c r="BB25" s="176" t="str">
        <f>IF(OR(AY25="",AY25=""),"",AY25-((AY25-AW25)*AS24))</f>
        <v/>
      </c>
      <c r="BC25" s="177" t="str">
        <f>IF(OR(BB25="",BA25=""),"",BB25-((BB25-BA25)*AS22))</f>
        <v/>
      </c>
      <c r="BD25" s="22"/>
      <c r="BE25" s="182" t="str">
        <f>IF(OR(BC25="",BC26=""),"",BC26-((BC26-BC25)*AS26))</f>
        <v/>
      </c>
      <c r="BF25" s="7"/>
      <c r="BH25" s="28" t="s">
        <v>492</v>
      </c>
      <c r="BI25" s="217" t="str">
        <f>IF(BI24="","",IF(BI24&gt;=2,BI24-1,IF(logVirusR&lt;2,0,1)))</f>
        <v/>
      </c>
      <c r="BJ25" s="6"/>
      <c r="BK25" s="6"/>
      <c r="BL25" s="45" t="e">
        <f>CONCATENATE(VLOOKUP(BI28,ClOgTable,2,FALSE)," C")</f>
        <v>#N/A</v>
      </c>
      <c r="BM25" s="145" t="str">
        <f>IF(OR(F4="",BI23=""),"",HLOOKUP(BI23,ClOgTable,BI28+2,FALSE))</f>
        <v/>
      </c>
      <c r="BN25" s="145" t="str">
        <f>IF(OR(F4="",BI22=""),"",HLOOKUP(BI22,ClOgTable,BI28+2,FALSE))</f>
        <v/>
      </c>
      <c r="BO25" s="22"/>
      <c r="BP25" s="219" t="str">
        <f>IF(OR(BN25="",BM25=""),"",BN25-((BN25-BM25)*BJ22))</f>
        <v/>
      </c>
      <c r="BQ25" s="6"/>
      <c r="BR25" s="182" t="str">
        <f>IF(OR(BP25="",BP26=""),"",BP26-((BP26-BP25)*BJ27))</f>
        <v/>
      </c>
      <c r="BS25" s="222"/>
      <c r="BU25" s="28" t="s">
        <v>507</v>
      </c>
      <c r="BV25" s="217" t="str">
        <f>IF(BV24="","",IF(BV24&gt;=2,BV24-1,IF(logVirusR&lt;2,0,1)))</f>
        <v/>
      </c>
      <c r="BW25" s="6"/>
      <c r="BX25" s="6"/>
      <c r="BY25" s="45" t="e">
        <f>CONCATENATE(VLOOKUP(BV28,O3gTable,2,FALSE)," C")</f>
        <v>#N/A</v>
      </c>
      <c r="BZ25" s="145" t="str">
        <f>IF(OR(F4="",BV23=""),"",HLOOKUP(BV23,O3gTable,BV28+2,FALSE))</f>
        <v/>
      </c>
      <c r="CA25" s="145" t="str">
        <f>IF(OR(F4="",BV22=""),"",HLOOKUP(BV22,O3gTable,BV28+2,FALSE))</f>
        <v/>
      </c>
      <c r="CB25" s="22"/>
      <c r="CC25" s="219" t="str">
        <f>IF(OR(CA25="",BZ25=""),"",CA25-((CA25-BZ25)*BW22))</f>
        <v/>
      </c>
      <c r="CD25" s="6"/>
      <c r="CE25" s="182" t="str">
        <f>IF(OR(CC25="",CC26=""),"",CC26-((CC26-CC25)*BW27))</f>
        <v/>
      </c>
      <c r="CF25" s="222"/>
      <c r="CH25" s="28" t="s">
        <v>510</v>
      </c>
      <c r="CI25" s="217" t="str">
        <f>IF(CI24="","",IF(CI24&gt;=2,CI24-1,IF(logVirusR&lt;2,0,1)))</f>
        <v/>
      </c>
      <c r="CJ25" s="6"/>
      <c r="CK25" s="6"/>
      <c r="CL25" s="45" t="e">
        <f>CONCATENATE(VLOOKUP(CI28,ChloramineTableG,2,FALSE)," C")</f>
        <v>#N/A</v>
      </c>
      <c r="CM25" s="145" t="str">
        <f>IF(OR(F4="",CI23="",'CT Worksheet'!C13&gt;9),"",HLOOKUP(CI23,ChloramineTableG,CI28+2,FALSE))</f>
        <v/>
      </c>
      <c r="CN25" s="145" t="str">
        <f>IF(OR(F4="",CI22="",'CT Worksheet'!C13&gt;9),"",HLOOKUP(CI22,ChloramineTableG,CI28+2,FALSE))</f>
        <v/>
      </c>
      <c r="CO25" s="22"/>
      <c r="CP25" s="219" t="str">
        <f>IF(OR(CN25="",CM25=""),"",CN25-((CN25-CM25)*CJ22))</f>
        <v/>
      </c>
      <c r="CQ25" s="6"/>
      <c r="CR25" s="182" t="str">
        <f>IF(OR(CP25="",CP26=""),"",CP26-((CP26-CP25)*CJ27))</f>
        <v/>
      </c>
      <c r="CS25" s="222"/>
      <c r="CU25" s="28" t="s">
        <v>85</v>
      </c>
      <c r="CV25" s="12" t="str">
        <f>IF(CV24="","",IF(Temp1&gt;=25,4,IF(CV24&gt;=2,CV24-1,1)))</f>
        <v/>
      </c>
      <c r="CW25" s="12"/>
      <c r="CX25" s="6"/>
      <c r="CY25" s="6"/>
      <c r="CZ25" s="45" t="e">
        <f>CONCATENATE(VLOOKUP(CV24,MicrocystinTable,2,FALSE)," C")</f>
        <v>#N/A</v>
      </c>
      <c r="DA25" s="61" t="str">
        <f>IF(OR(F4="",CX31=""),"",HLOOKUP(CX31,MicrocystinTable,CV24+2,FALSE))</f>
        <v/>
      </c>
      <c r="DB25" s="61" t="str">
        <f>IF(OR(F4="",CW31=""),"",HLOOKUP(CW31,MicrocystinTable,CV24+2,FALSE))</f>
        <v/>
      </c>
      <c r="DC25" s="173" t="str">
        <f>IF(OR(F4="",CX32=""),"",HLOOKUP(CX32,MicrocystinTable,CV24+2,FALSE))</f>
        <v/>
      </c>
      <c r="DD25" s="145" t="str">
        <f>IF(OR(F4="",CW32=""),"",HLOOKUP(CW32,MicrocystinTable,CV24+2,FALSE))</f>
        <v/>
      </c>
      <c r="DE25" s="6"/>
      <c r="DF25" s="220" t="str">
        <f>IF(OR(DA25="",DC25=""),"",DC25-((DC25-DA25)*CW22))</f>
        <v/>
      </c>
      <c r="DG25" s="179" t="str">
        <f>IF(OR(DD25="",DD25=""),"",DD25-((DD25-DB25)*CW22))</f>
        <v/>
      </c>
      <c r="DH25" s="180" t="str">
        <f>IF(OR(DG25="",DF25=""),"",DG25-((DG25-DF25)*CW20))</f>
        <v/>
      </c>
      <c r="DI25" s="22"/>
      <c r="DJ25" s="181"/>
      <c r="DK25" s="241"/>
      <c r="DL25" s="440"/>
      <c r="DM25" s="241"/>
      <c r="DN25" s="241"/>
      <c r="DO25" s="7"/>
    </row>
    <row r="26" spans="1:119" ht="13.5" thickBot="1" x14ac:dyDescent="0.25">
      <c r="A26" s="28" t="s">
        <v>60</v>
      </c>
      <c r="B26" s="6" t="str">
        <f>IF(B28&lt;&gt;"",B28,IF(B29=15,14,B29))</f>
        <v/>
      </c>
      <c r="C26" s="44" t="str">
        <f>IF(C28="",C29,C28)</f>
        <v/>
      </c>
      <c r="D26" s="6"/>
      <c r="E26" s="6"/>
      <c r="F26" s="22"/>
      <c r="G26" s="6"/>
      <c r="H26" s="40"/>
      <c r="I26" s="6"/>
      <c r="J26" s="22"/>
      <c r="K26" s="22"/>
      <c r="L26" s="22"/>
      <c r="M26" s="22"/>
      <c r="N26" s="22"/>
      <c r="O26" s="22"/>
      <c r="P26" s="22"/>
      <c r="Q26" s="22"/>
      <c r="R26" s="22"/>
      <c r="S26" s="22"/>
      <c r="T26" s="22"/>
      <c r="U26" s="7"/>
      <c r="V26" s="28"/>
      <c r="W26" s="58">
        <v>1.2</v>
      </c>
      <c r="X26" s="75" t="str">
        <f>IF(E31="","",HLOOKUP(E31,CTtable,6,FALSE))</f>
        <v/>
      </c>
      <c r="Y26" s="22" t="str">
        <f>IF(D31="","",HLOOKUP(D31,CTtable,6,FALSE))</f>
        <v/>
      </c>
      <c r="Z26" s="75" t="str">
        <f>IF(E32="","",HLOOKUP(E32,CTtable,6,FALSE))</f>
        <v/>
      </c>
      <c r="AA26" s="73" t="str">
        <f>IF(D32="","",HLOOKUP(D32,CTtable,6,FALSE))</f>
        <v/>
      </c>
      <c r="AB26" s="75" t="str">
        <f>IF(E33="","",HLOOKUP(E33,CTtable,6,FALSE))</f>
        <v/>
      </c>
      <c r="AC26" s="22" t="str">
        <f>IF(D33="","",HLOOKUP(D33,CTtable,6,FALSE))</f>
        <v/>
      </c>
      <c r="AD26" s="75" t="str">
        <f>IF(E34="","",HLOOKUP(E34,CTtable,6,FALSE))</f>
        <v/>
      </c>
      <c r="AE26" s="73" t="str">
        <f>IF(D34="","",HLOOKUP(D34,CTtable,6,FALSE))</f>
        <v/>
      </c>
      <c r="AF26" s="6"/>
      <c r="AG26" s="78" t="str">
        <f t="shared" si="10"/>
        <v/>
      </c>
      <c r="AH26" s="76" t="str">
        <f t="shared" si="10"/>
        <v/>
      </c>
      <c r="AI26" s="78" t="str">
        <f t="shared" si="11"/>
        <v/>
      </c>
      <c r="AJ26" s="79" t="str">
        <f t="shared" si="12"/>
        <v/>
      </c>
      <c r="AK26" s="22"/>
      <c r="AL26" s="78" t="str">
        <f t="shared" si="13"/>
        <v/>
      </c>
      <c r="AM26" s="76" t="str">
        <f t="shared" si="14"/>
        <v/>
      </c>
      <c r="AN26" s="82" t="str">
        <f t="shared" si="15"/>
        <v/>
      </c>
      <c r="AO26" s="7"/>
      <c r="AQ26" s="28" t="s">
        <v>71</v>
      </c>
      <c r="AR26" s="12" t="str">
        <f>IF(Temp1="","",IF(Temp1&lt;=0,"",IF(Temp1&lt;=1,1,IF(Temp1&lt;=5,2,IF(Temp1&lt;=10,3,IF(Temp1&lt;=15,4,IF(Temp1&lt;=20,5,6)))))))</f>
        <v/>
      </c>
      <c r="AS26" s="190">
        <f>IF(AR27=6,0,IF(AR26=2,((5-Temp1)/4),IF(AR26=3,((10-Temp1)/5),IF(AR26=4,((15-Temp1)/5),IF(AR26=5,((20-Temp1)/5),IF(AR26=6,((25-Temp1)/5),0))))))</f>
        <v>0</v>
      </c>
      <c r="AT26" s="6"/>
      <c r="AU26" s="45" t="e">
        <f>CONCATENATE(VLOOKUP(AR26,VirusCTtable,2,FALSE)," C")</f>
        <v>#N/A</v>
      </c>
      <c r="AV26" s="61" t="str">
        <f>IF(OR(F4="",AT30=""),"",HLOOKUP(AT30,VirusCTtable,AR26+2,FALSE))</f>
        <v/>
      </c>
      <c r="AW26" s="61" t="str">
        <f>IF(OR(F4="",AS30=""),"",HLOOKUP(AS30,VirusCTtable,AR26+2,FALSE))</f>
        <v/>
      </c>
      <c r="AX26" s="173" t="str">
        <f>IF(OR(F4="",AT31=""),"",HLOOKUP(AT31,VirusCTtable,AR26+2,FALSE))</f>
        <v/>
      </c>
      <c r="AY26" s="174" t="str">
        <f>IF(OR(F4="",AS31=""),"",HLOOKUP(AS31,VirusCTtable,AR26+2,FALSE))</f>
        <v/>
      </c>
      <c r="AZ26" s="6"/>
      <c r="BA26" s="178" t="str">
        <f>IF(OR(AV26="",AX26=""),"",AX26-((AX26-AV26)*AS24))</f>
        <v/>
      </c>
      <c r="BB26" s="179" t="str">
        <f>IF(OR(AY26="",AY26=""),"",AY26-((AY26-AW26)*AS24))</f>
        <v/>
      </c>
      <c r="BC26" s="180" t="str">
        <f>IF(OR(BB26="",BA26=""),"",BB26-((BB26-BA26)*AS22))</f>
        <v/>
      </c>
      <c r="BD26" s="22"/>
      <c r="BE26" s="181"/>
      <c r="BF26" s="7"/>
      <c r="BH26" s="28"/>
      <c r="BI26" s="12"/>
      <c r="BJ26" s="190"/>
      <c r="BK26" s="6"/>
      <c r="BL26" s="45" t="e">
        <f>CONCATENATE(VLOOKUP(BI27,ClOgTable,2,FALSE)," C")</f>
        <v>#N/A</v>
      </c>
      <c r="BM26" s="145" t="str">
        <f>IF(OR(F4="",BI23=""),"",HLOOKUP(BI23,ClOgTable,BI27+2,FALSE))</f>
        <v/>
      </c>
      <c r="BN26" s="145" t="str">
        <f>IF(OR(F4="",BI22=""),"",HLOOKUP(BI22,ClOgTable,BI27+2,FALSE))</f>
        <v/>
      </c>
      <c r="BO26" s="22"/>
      <c r="BP26" s="220" t="str">
        <f>IF(OR(BN26="",BM26=""),"",BN26-((BN26-BM26)*BJ22))</f>
        <v/>
      </c>
      <c r="BQ26" s="6"/>
      <c r="BR26" s="181"/>
      <c r="BS26" s="222"/>
      <c r="BU26" s="28"/>
      <c r="BV26" s="12"/>
      <c r="BW26" s="190"/>
      <c r="BX26" s="6"/>
      <c r="BY26" s="45" t="e">
        <f>CONCATENATE(VLOOKUP(BV27,O3gTable,2,FALSE)," C")</f>
        <v>#N/A</v>
      </c>
      <c r="BZ26" s="145" t="str">
        <f>IF(OR(F4="",BV23=""),"",HLOOKUP(BV23,O3gTable,BV27+2,FALSE))</f>
        <v/>
      </c>
      <c r="CA26" s="145" t="str">
        <f>IF(OR(F4="",BV22=""),"",HLOOKUP(BV22,O3gTable,BV27+2,FALSE))</f>
        <v/>
      </c>
      <c r="CB26" s="22"/>
      <c r="CC26" s="220" t="str">
        <f>IF(OR(CA26="",BZ26=""),"",CA26-((CA26-BZ26)*BW22))</f>
        <v/>
      </c>
      <c r="CD26" s="6"/>
      <c r="CE26" s="181"/>
      <c r="CF26" s="222"/>
      <c r="CH26" s="28"/>
      <c r="CI26" s="12"/>
      <c r="CJ26" s="190"/>
      <c r="CK26" s="6"/>
      <c r="CL26" s="45" t="e">
        <f>CONCATENATE(VLOOKUP(CI27,ChloramineTableG,2,FALSE)," C")</f>
        <v>#N/A</v>
      </c>
      <c r="CM26" s="145" t="str">
        <f>IF(OR(F4="",CI23="",'CT Worksheet'!C13&gt;9),"",HLOOKUP(CI23,ChloramineTableG,CI27+2,FALSE))</f>
        <v/>
      </c>
      <c r="CN26" s="145" t="str">
        <f>IF(OR(F4="",CI22="",'CT Worksheet'!C13&gt;9),"",HLOOKUP(CI22,ChloramineTableG,CI27+2,FALSE))</f>
        <v/>
      </c>
      <c r="CO26" s="22"/>
      <c r="CP26" s="220" t="str">
        <f>IF(OR(CN26="",CM26=""),"",CN26-((CN26-CM26)*CJ22))</f>
        <v/>
      </c>
      <c r="CQ26" s="6"/>
      <c r="CR26" s="181"/>
      <c r="CS26" s="222"/>
      <c r="CU26" s="235"/>
      <c r="CV26" s="12"/>
      <c r="CW26" s="190"/>
      <c r="CX26" s="6"/>
      <c r="CY26" s="6"/>
      <c r="CZ26" s="6"/>
      <c r="DA26" s="566" t="str">
        <f>IF(CV23="","",IF(CV23=1,CONCATENATE("pH ",6),IF(CV23=2,CONCATENATE("pH ",7),IF(CV23=3,CONCATENATE("pH ",8),CONCATENATE("pH ",9)))))</f>
        <v/>
      </c>
      <c r="DB26" s="567"/>
      <c r="DC26" s="568" t="str">
        <f>IF(CV22="","",IF(CV22=1,CONCATENATE("pH ",6),IF(CV22=2,CONCATENATE("pH ",7),IF(CV22=3,CONCATENATE("pH ",8),CONCATENATE("pH ",9)))))</f>
        <v/>
      </c>
      <c r="DD26" s="566"/>
      <c r="DE26" s="6"/>
      <c r="DF26" s="569" t="str">
        <f>CONCATENATE("pH ",'CT Worksheet'!C13)</f>
        <v xml:space="preserve">pH </v>
      </c>
      <c r="DG26" s="569"/>
      <c r="DH26" s="569"/>
      <c r="DI26" s="6"/>
      <c r="DJ26" s="6"/>
      <c r="DK26" s="241"/>
      <c r="DL26" s="440"/>
      <c r="DM26" s="241"/>
      <c r="DN26" s="241"/>
      <c r="DO26" s="7"/>
    </row>
    <row r="27" spans="1:119" ht="13.5" thickBot="1" x14ac:dyDescent="0.25">
      <c r="A27" s="28" t="s">
        <v>77</v>
      </c>
      <c r="B27" s="6" t="str">
        <f>IF(B26="","",IF(B29=15,14,IF(B26&gt;=2,B26-1,1)))</f>
        <v/>
      </c>
      <c r="C27" s="6"/>
      <c r="D27" s="6"/>
      <c r="E27" s="6"/>
      <c r="F27" s="22"/>
      <c r="G27" s="6"/>
      <c r="H27" s="6"/>
      <c r="I27" s="6"/>
      <c r="J27" s="608" t="str">
        <f>CONCATENATE("CT Table ",F33)</f>
        <v xml:space="preserve">CT Table </v>
      </c>
      <c r="K27" s="609"/>
      <c r="L27" s="614" t="str">
        <f>CONCATENATE("CT Table ",F34)</f>
        <v xml:space="preserve">CT Table </v>
      </c>
      <c r="M27" s="615"/>
      <c r="N27" s="22"/>
      <c r="O27" s="22"/>
      <c r="P27" s="22"/>
      <c r="Q27" s="22"/>
      <c r="R27" s="22"/>
      <c r="S27" s="22"/>
      <c r="T27" s="22"/>
      <c r="U27" s="7"/>
      <c r="V27" s="28"/>
      <c r="W27" s="58">
        <v>1.4</v>
      </c>
      <c r="X27" s="75" t="str">
        <f>IF(E31="","",HLOOKUP(E31,CTtable,7,FALSE))</f>
        <v/>
      </c>
      <c r="Y27" s="22" t="str">
        <f>IF(D31="","",HLOOKUP(D31,CTtable,7,FALSE))</f>
        <v/>
      </c>
      <c r="Z27" s="75" t="str">
        <f>IF(E32="","",HLOOKUP(E32,CTtable,7,FALSE))</f>
        <v/>
      </c>
      <c r="AA27" s="73" t="str">
        <f>IF(D32="","",HLOOKUP(D32,CTtable,7,FALSE))</f>
        <v/>
      </c>
      <c r="AB27" s="75" t="str">
        <f>IF(E33="","",HLOOKUP(E33,CTtable,7,FALSE))</f>
        <v/>
      </c>
      <c r="AC27" s="22" t="str">
        <f>IF(D33="","",HLOOKUP(D33,CTtable,7,FALSE))</f>
        <v/>
      </c>
      <c r="AD27" s="75" t="str">
        <f>IF(E34="","",HLOOKUP(E34,CTtable,7,FALSE))</f>
        <v/>
      </c>
      <c r="AE27" s="73" t="str">
        <f>IF(D34="","",HLOOKUP(D34,CTtable,7,FALSE))</f>
        <v/>
      </c>
      <c r="AF27" s="6"/>
      <c r="AG27" s="78" t="str">
        <f t="shared" si="10"/>
        <v/>
      </c>
      <c r="AH27" s="76" t="str">
        <f t="shared" si="10"/>
        <v/>
      </c>
      <c r="AI27" s="78" t="str">
        <f t="shared" si="11"/>
        <v/>
      </c>
      <c r="AJ27" s="79" t="str">
        <f t="shared" si="12"/>
        <v/>
      </c>
      <c r="AK27" s="22"/>
      <c r="AL27" s="78" t="str">
        <f t="shared" si="13"/>
        <v/>
      </c>
      <c r="AM27" s="76" t="str">
        <f t="shared" si="14"/>
        <v/>
      </c>
      <c r="AN27" s="82" t="str">
        <f t="shared" si="15"/>
        <v/>
      </c>
      <c r="AO27" s="7"/>
      <c r="AQ27" s="28" t="s">
        <v>85</v>
      </c>
      <c r="AR27" s="12" t="str">
        <f>IF(AR26="","",IF(Temp1&gt;=25,6,IF(AR26&gt;=2,AR26-1,1)))</f>
        <v/>
      </c>
      <c r="AS27" s="6"/>
      <c r="AT27" s="6"/>
      <c r="AU27" s="6"/>
      <c r="AV27" s="566" t="str">
        <f>IF(AR25=1,"pH 6-9",IF(AR25=2,"pH 10",""))</f>
        <v/>
      </c>
      <c r="AW27" s="567"/>
      <c r="AX27" s="568" t="str">
        <f>IF(AR24=1,"pH 6-9",IF(AR24=2,"pH 10",""))</f>
        <v/>
      </c>
      <c r="AY27" s="566"/>
      <c r="AZ27" s="6"/>
      <c r="BA27" s="569" t="str">
        <f>CONCATENATE("pH ",'CT Worksheet'!C13)</f>
        <v xml:space="preserve">pH </v>
      </c>
      <c r="BB27" s="569"/>
      <c r="BC27" s="569"/>
      <c r="BD27" s="6"/>
      <c r="BE27" s="6"/>
      <c r="BF27" s="7"/>
      <c r="BH27" s="28" t="s">
        <v>71</v>
      </c>
      <c r="BI27" s="12" t="str">
        <f>IF(Temp1="","",IF(Temp1&lt;=0,"",IF(Temp1&lt;=1,1,IF(Temp1&lt;=5,2,IF(Temp1&lt;=10,3,IF(Temp1&lt;=15,4,IF(Temp1&lt;=20,5,6)))))))</f>
        <v/>
      </c>
      <c r="BJ27" s="190">
        <f>IF(BI28=6,0,IF(BI27=2,((5-Temp1)/4),IF(BI27=3,((10-Temp1)/5),IF(BI27=4,((15-Temp1)/5),IF(BI27=5,((20-Temp1)/5),IF(BI27=6,((25-Temp1)/5),0))))))</f>
        <v>0</v>
      </c>
      <c r="BK27" s="6"/>
      <c r="BL27" s="6"/>
      <c r="BM27" s="221"/>
      <c r="BN27" s="221"/>
      <c r="BO27" s="212" t="str">
        <f>IF(BI26=1,"pH 6-9",IF(BI26=2,"pH 10",""))</f>
        <v/>
      </c>
      <c r="BP27" s="212"/>
      <c r="BQ27" s="6"/>
      <c r="BR27" s="41"/>
      <c r="BS27" s="223"/>
      <c r="BT27" s="41"/>
      <c r="BU27" s="28" t="s">
        <v>71</v>
      </c>
      <c r="BV27" s="12" t="str">
        <f>IF(Temp1="","",IF(Temp1&lt;=0,"",IF(Temp1&lt;=1,1,IF(Temp1&lt;=5,2,IF(Temp1&lt;=10,3,IF(Temp1&lt;=15,4,IF(Temp1&lt;=20,5,6)))))))</f>
        <v/>
      </c>
      <c r="BW27" s="190">
        <f>IF(BV28=6,0,IF(BV27=2,((5-Temp1)/4),IF(BV27=3,((10-Temp1)/5),IF(BV27=4,((15-Temp1)/5),IF(BV27=5,((20-Temp1)/5),IF(BV27=6,((25-Temp1)/5),0))))))</f>
        <v>0</v>
      </c>
      <c r="BX27" s="6"/>
      <c r="BY27" s="6"/>
      <c r="BZ27" s="221"/>
      <c r="CA27" s="221"/>
      <c r="CB27" s="212" t="str">
        <f>IF(BV26=1,"pH 6-9",IF(BV26=2,"pH 10",""))</f>
        <v/>
      </c>
      <c r="CC27" s="212"/>
      <c r="CD27" s="6"/>
      <c r="CE27" s="41"/>
      <c r="CF27" s="223"/>
      <c r="CH27" s="28" t="s">
        <v>71</v>
      </c>
      <c r="CI27" s="12" t="str">
        <f>IF(Temp1="","",IF(Temp1&lt;=0,"",IF(Temp1&lt;=1,1,IF(Temp1&lt;=5,2,IF(Temp1&lt;=10,3,IF(Temp1&lt;=15,4,IF(Temp1&lt;=20,5,6)))))))</f>
        <v/>
      </c>
      <c r="CJ27" s="190">
        <f>IF(CI28=6,0,IF(CI27=2,((5-Temp1)/4),IF(CI27=3,((10-Temp1)/5),IF(CI27=4,((15-Temp1)/5),IF(CI27=5,((20-Temp1)/5),IF(CI27=6,((25-Temp1)/5),0))))))</f>
        <v>0</v>
      </c>
      <c r="CK27" s="6"/>
      <c r="CL27" s="6"/>
      <c r="CM27" s="221"/>
      <c r="CN27" s="221"/>
      <c r="CO27" s="212" t="str">
        <f>IF(CI26=1,"pH 6-9",IF(CI26=2,"pH 10",""))</f>
        <v/>
      </c>
      <c r="CP27" s="212"/>
      <c r="CQ27" s="6"/>
      <c r="CR27" s="41"/>
      <c r="CS27" s="223"/>
      <c r="CU27" s="235"/>
      <c r="CV27" s="12"/>
      <c r="CW27" s="12"/>
      <c r="CX27" s="6"/>
      <c r="CY27" s="6"/>
      <c r="DA27" s="391"/>
      <c r="DB27" s="391"/>
      <c r="DC27" s="391"/>
      <c r="DD27" s="391"/>
      <c r="DK27" s="241"/>
      <c r="DL27" s="440"/>
      <c r="DM27" s="241"/>
      <c r="DN27" s="241"/>
      <c r="DO27" s="7"/>
    </row>
    <row r="28" spans="1:119" x14ac:dyDescent="0.2">
      <c r="A28" s="28" t="s">
        <v>46</v>
      </c>
      <c r="B28" s="6" t="str">
        <f>IF(DR_1="","",IF(DR_1&lt;=0.4,1,IF(DR_1&lt;=0.6,2,IF(DR_1&lt;=0.8,3,IF(DR_1&lt;=1,4,IF(DR_1&lt;=1.2,5,IF(DR_1&lt;=1.4,6,IF(DR_1&lt;=1.6,7,""))))))))</f>
        <v/>
      </c>
      <c r="C28" s="44" t="str">
        <f>IF(B28=1,0,IF(B28=2,((0.6-'CT Worksheet'!C12)/0.2),IF(B28=3,((0.8-'CT Worksheet'!C12)/0.2),IF(B28=4,((1-'CT Worksheet'!C12)/0.2),IF(B28=5,((1.2-'CT Worksheet'!C12)/0.2),IF(B28=6,((1.4-'CT Worksheet'!C12)/0.2),IF(B28=7,((1.6-'CT Worksheet'!C12)/0.2),"")))))))</f>
        <v/>
      </c>
      <c r="D28" s="6"/>
      <c r="E28" s="6"/>
      <c r="F28" s="22"/>
      <c r="G28" s="6"/>
      <c r="H28" s="40"/>
      <c r="I28" s="45" t="e">
        <f>I23</f>
        <v>#N/A</v>
      </c>
      <c r="J28" s="61" t="str">
        <f>IF(OR(F4="",E33=""),"",HLOOKUP(E33,CTtable,B27+1,FALSE))</f>
        <v/>
      </c>
      <c r="K28" s="42" t="str">
        <f>IF(OR(F4="",D33=""),"",HLOOKUP(D33,CTtable,B27+1,FALSE))</f>
        <v/>
      </c>
      <c r="L28" s="62" t="str">
        <f>IF(OR(F4="",E34=""),"",HLOOKUP(E34,CTtable,B27+1,FALSE))</f>
        <v/>
      </c>
      <c r="M28" s="72" t="str">
        <f>IF(OR(F4="",D34=""),"",HLOOKUP(D34,CTtable,B27+1,FALSE))</f>
        <v/>
      </c>
      <c r="N28" s="22"/>
      <c r="O28" s="63" t="str">
        <f>IF(OR(J28="",L28=""),"",L28-((L28-J28)*C22))</f>
        <v/>
      </c>
      <c r="P28" s="64" t="str">
        <f>IF(OR(M28="",M28=""),"",M28-((M28-K28)*C22))</f>
        <v/>
      </c>
      <c r="Q28" s="65" t="str">
        <f>IF(OR(P28="",O28=""),"",P28-((P28-O28)*C20))</f>
        <v/>
      </c>
      <c r="R28" s="22"/>
      <c r="S28" s="22"/>
      <c r="T28" s="22"/>
      <c r="U28" s="7"/>
      <c r="V28" s="28"/>
      <c r="W28" s="58">
        <v>1.6</v>
      </c>
      <c r="X28" s="75" t="str">
        <f>IF(E31="","",HLOOKUP(E31,CTtable,8,FALSE))</f>
        <v/>
      </c>
      <c r="Y28" s="22" t="str">
        <f>IF(D31="","",HLOOKUP(D31,CTtable,8,FALSE))</f>
        <v/>
      </c>
      <c r="Z28" s="75" t="str">
        <f>IF(E32="","",HLOOKUP(E32,CTtable,8,FALSE))</f>
        <v/>
      </c>
      <c r="AA28" s="73" t="str">
        <f>IF(D32="","",HLOOKUP(D32,CTtable,8,FALSE))</f>
        <v/>
      </c>
      <c r="AB28" s="75" t="str">
        <f>IF(E33="","",HLOOKUP(E33,CTtable,8,FALSE))</f>
        <v/>
      </c>
      <c r="AC28" s="22" t="str">
        <f>IF(D33="","",HLOOKUP(D33,CTtable,8,FALSE))</f>
        <v/>
      </c>
      <c r="AD28" s="75" t="str">
        <f>IF(E34="","",HLOOKUP(E34,CTtable,8,FALSE))</f>
        <v/>
      </c>
      <c r="AE28" s="73" t="str">
        <f>IF(D34="","",HLOOKUP(D34,CTtable,8,FALSE))</f>
        <v/>
      </c>
      <c r="AF28" s="6"/>
      <c r="AG28" s="78" t="str">
        <f t="shared" si="10"/>
        <v/>
      </c>
      <c r="AH28" s="76" t="str">
        <f t="shared" si="10"/>
        <v/>
      </c>
      <c r="AI28" s="78" t="str">
        <f t="shared" si="11"/>
        <v/>
      </c>
      <c r="AJ28" s="79" t="str">
        <f t="shared" si="12"/>
        <v/>
      </c>
      <c r="AK28" s="22"/>
      <c r="AL28" s="78" t="str">
        <f t="shared" si="13"/>
        <v/>
      </c>
      <c r="AM28" s="76" t="str">
        <f t="shared" si="14"/>
        <v/>
      </c>
      <c r="AN28" s="82" t="str">
        <f t="shared" si="15"/>
        <v/>
      </c>
      <c r="AO28" s="7"/>
      <c r="AQ28" s="28"/>
      <c r="AR28" s="6"/>
      <c r="AS28" s="6"/>
      <c r="AT28" s="6"/>
      <c r="BF28" s="7"/>
      <c r="BH28" s="28" t="s">
        <v>85</v>
      </c>
      <c r="BI28" s="12" t="str">
        <f>IF(BI27="","",IF(Temp1&gt;=25,6,IF(BI27&gt;=2,BI27-1,1)))</f>
        <v/>
      </c>
      <c r="BJ28" s="6"/>
      <c r="BK28" s="6"/>
      <c r="BL28" s="6"/>
      <c r="BM28" s="565" t="s">
        <v>443</v>
      </c>
      <c r="BN28" s="565"/>
      <c r="BO28" s="212"/>
      <c r="BP28" s="147" t="s">
        <v>497</v>
      </c>
      <c r="BQ28" s="147"/>
      <c r="BR28" s="22" t="s">
        <v>58</v>
      </c>
      <c r="BS28" s="7"/>
      <c r="BU28" s="28" t="s">
        <v>85</v>
      </c>
      <c r="BV28" s="12" t="str">
        <f>IF(BV27="","",IF(Temp1&gt;=25,6,IF(BV27&gt;=2,BV27-1,1)))</f>
        <v/>
      </c>
      <c r="BW28" s="6"/>
      <c r="BX28" s="6"/>
      <c r="BY28" s="6"/>
      <c r="BZ28" s="565" t="s">
        <v>443</v>
      </c>
      <c r="CA28" s="565"/>
      <c r="CB28" s="6"/>
      <c r="CC28" s="6"/>
      <c r="CD28" s="6"/>
      <c r="CE28" s="22" t="s">
        <v>58</v>
      </c>
      <c r="CF28" s="7"/>
      <c r="CH28" s="28" t="s">
        <v>85</v>
      </c>
      <c r="CI28" s="12" t="str">
        <f>IF(CI27="","",IF(Temp1&gt;=25,6,IF(CI27&gt;=2,CI27-1,1)))</f>
        <v/>
      </c>
      <c r="CJ28" s="6"/>
      <c r="CK28" s="6"/>
      <c r="CL28" s="6"/>
      <c r="CM28" s="6"/>
      <c r="CN28" s="6"/>
      <c r="CO28" s="6"/>
      <c r="CP28" s="6"/>
      <c r="CQ28" s="6"/>
      <c r="CR28" s="6"/>
      <c r="CS28" s="7"/>
      <c r="CU28" s="235"/>
      <c r="CV28" s="12"/>
      <c r="CW28" s="190"/>
      <c r="CX28" s="6"/>
      <c r="CY28" s="6"/>
      <c r="CZ28" s="22"/>
      <c r="DA28" s="6"/>
      <c r="DB28" s="36"/>
      <c r="DC28" s="243"/>
      <c r="DD28" s="241"/>
      <c r="DE28" s="241"/>
      <c r="DF28" s="241"/>
      <c r="DG28" s="241"/>
      <c r="DH28" s="241"/>
      <c r="DI28" s="241"/>
      <c r="DJ28" s="241"/>
      <c r="DK28" s="241"/>
      <c r="DL28" s="440"/>
      <c r="DM28" s="241"/>
      <c r="DN28" s="241"/>
      <c r="DO28" s="7"/>
    </row>
    <row r="29" spans="1:119" ht="13.5" thickBot="1" x14ac:dyDescent="0.25">
      <c r="A29" s="28" t="s">
        <v>47</v>
      </c>
      <c r="B29" s="6" t="str">
        <f>IF(OR(B28&lt;&gt;"",DR_1=""),"",IF(DR_1&lt;=1.8,8,IF(DR_1&lt;=2,9,IF(DR_1&lt;=2.2,10,IF(DR_1&lt;=2.4,11,IF(DR_1&lt;=2.6,12,IF(DR_1&lt;=2.8,13,IF(DR_1&lt;=3,14,15))))))))</f>
        <v/>
      </c>
      <c r="C29" s="44" t="str">
        <f>IF(B29=8,((1.8-'CT Worksheet'!C12)/0.2),IF(B29=9,((2-'CT Worksheet'!C12)/0.2),IF(B29=10,((2.2-'CT Worksheet'!C12)/0.2),IF(B29=11,((2.4-'CT Worksheet'!C12)/0.2),IF(B29=12,((2.6-'CT Worksheet'!C12)/0.2),IF(B29=13,((2.8-'CT Worksheet'!C12)/0.2),IF(B29=14,((3-'CT Worksheet'!C12)/0.2),IF(B29=15,0,""))))))))</f>
        <v/>
      </c>
      <c r="D29" s="6"/>
      <c r="E29" s="46"/>
      <c r="F29" s="130"/>
      <c r="G29" s="6"/>
      <c r="H29" s="40"/>
      <c r="I29" s="45" t="e">
        <f>I24</f>
        <v>#N/A</v>
      </c>
      <c r="J29" s="67" t="str">
        <f>IF(OR(F4="",E33=""),"",HLOOKUP(E33,CTtable,IF(B26=15,B26,B26+1),FALSE))</f>
        <v/>
      </c>
      <c r="K29" s="59" t="str">
        <f>IF(OR(F4="",D33=""),"",HLOOKUP(D33,CTtable,IF(B26=15,B26,B26+1),FALSE))</f>
        <v/>
      </c>
      <c r="L29" s="60" t="str">
        <f>IF(OR(F4="",E34=""),"",HLOOKUP(E34,CTtable,IF(B26=15,B26,B26+1),FALSE))</f>
        <v/>
      </c>
      <c r="M29" s="73" t="str">
        <f>IF(OR(F4="",D34=""),"",HLOOKUP(D34,CTtable,IF(B26=15,B26,B26+1),FALSE))</f>
        <v/>
      </c>
      <c r="N29" s="22"/>
      <c r="O29" s="69" t="str">
        <f>IF(OR(J29="",L29=""),"",L29-((L29-J29)*C22))</f>
        <v/>
      </c>
      <c r="P29" s="70" t="str">
        <f>IF(OR(M29="",M29=""),"",M29-((M29-K29)*C22))</f>
        <v/>
      </c>
      <c r="Q29" s="71" t="str">
        <f>IF(OR(P29="",O29=""),"",P29-((P29-O29)*C20))</f>
        <v/>
      </c>
      <c r="R29" s="22"/>
      <c r="S29" s="22"/>
      <c r="T29" s="22"/>
      <c r="U29" s="7"/>
      <c r="V29" s="28"/>
      <c r="W29" s="58">
        <v>1.8</v>
      </c>
      <c r="X29" s="75" t="str">
        <f>IF(E31="","",HLOOKUP(E31,CTtable,9,FALSE))</f>
        <v/>
      </c>
      <c r="Y29" s="22" t="str">
        <f>IF(D31="","",HLOOKUP(D31,CTtable,9,FALSE))</f>
        <v/>
      </c>
      <c r="Z29" s="75" t="str">
        <f>IF(E32="","",HLOOKUP(E32,CTtable,9,FALSE))</f>
        <v/>
      </c>
      <c r="AA29" s="73" t="str">
        <f>IF(D32="","",HLOOKUP(D32,CTtable,9,FALSE))</f>
        <v/>
      </c>
      <c r="AB29" s="75" t="str">
        <f>IF(E33="","",HLOOKUP(E33,CTtable,9,FALSE))</f>
        <v/>
      </c>
      <c r="AC29" s="22" t="str">
        <f>IF(D33="","",HLOOKUP(D33,CTtable,9,FALSE))</f>
        <v/>
      </c>
      <c r="AD29" s="75" t="str">
        <f>IF(E34="","",HLOOKUP(E34,CTtable,9,FALSE))</f>
        <v/>
      </c>
      <c r="AE29" s="73" t="str">
        <f>IF(D34="","",HLOOKUP(D34,CTtable,9,FALSE))</f>
        <v/>
      </c>
      <c r="AF29" s="6"/>
      <c r="AG29" s="78" t="str">
        <f t="shared" si="10"/>
        <v/>
      </c>
      <c r="AH29" s="76" t="str">
        <f t="shared" si="10"/>
        <v/>
      </c>
      <c r="AI29" s="78" t="str">
        <f t="shared" si="11"/>
        <v/>
      </c>
      <c r="AJ29" s="79" t="str">
        <f t="shared" si="12"/>
        <v/>
      </c>
      <c r="AK29" s="22"/>
      <c r="AL29" s="78" t="str">
        <f t="shared" si="13"/>
        <v/>
      </c>
      <c r="AM29" s="76" t="str">
        <f t="shared" si="14"/>
        <v/>
      </c>
      <c r="AN29" s="82" t="str">
        <f t="shared" si="15"/>
        <v/>
      </c>
      <c r="AO29" s="7"/>
      <c r="AQ29" s="28"/>
      <c r="AR29" s="6"/>
      <c r="AS29" s="6"/>
      <c r="AT29" s="6"/>
      <c r="AU29" s="6"/>
      <c r="AV29" s="6"/>
      <c r="AW29" s="6"/>
      <c r="AX29" s="6"/>
      <c r="AY29" s="6"/>
      <c r="AZ29" s="6"/>
      <c r="BA29" s="6"/>
      <c r="BB29" s="6"/>
      <c r="BC29" s="6"/>
      <c r="BD29" s="6"/>
      <c r="BE29" s="6"/>
      <c r="BF29" s="7"/>
      <c r="BH29" s="28"/>
      <c r="BI29" s="6"/>
      <c r="BJ29" s="6"/>
      <c r="BK29" s="6"/>
      <c r="BL29" s="6"/>
      <c r="BM29" s="22" t="e">
        <f>HLOOKUP(BI25,ClOvTable,2,FALSE)</f>
        <v>#N/A</v>
      </c>
      <c r="BN29" s="22" t="e">
        <f>HLOOKUP(BI24,ClOvTable,2,FALSE)</f>
        <v>#N/A</v>
      </c>
      <c r="BO29" s="22"/>
      <c r="BP29" s="24" t="str">
        <f>CONCATENATE(logVirusR,"-log")</f>
        <v>-log</v>
      </c>
      <c r="BQ29" s="6"/>
      <c r="BR29" s="24" t="str">
        <f>CONCATENATE('CT Worksheet'!C11,'CT Worksheet'!D11)</f>
        <v/>
      </c>
      <c r="BS29" s="224"/>
      <c r="BT29" s="6"/>
      <c r="BU29" s="28"/>
      <c r="BV29" s="6"/>
      <c r="BW29" s="6"/>
      <c r="BX29" s="6"/>
      <c r="BY29" s="6"/>
      <c r="BZ29" s="22" t="e">
        <f>HLOOKUP(BV25,O3vTable,2,FALSE)</f>
        <v>#N/A</v>
      </c>
      <c r="CA29" s="22" t="e">
        <f>HLOOKUP(BV24,O3vTable,2,FALSE)</f>
        <v>#N/A</v>
      </c>
      <c r="CB29" s="22"/>
      <c r="CC29" s="24" t="str">
        <f>CONCATENATE(logGiardiaR,"-log")</f>
        <v>-log</v>
      </c>
      <c r="CD29" s="6"/>
      <c r="CE29" s="24" t="str">
        <f>CONCATENATE('CT Worksheet'!C11,'CT Worksheet'!D11)</f>
        <v/>
      </c>
      <c r="CF29" s="224"/>
      <c r="CH29" s="28"/>
      <c r="CI29" s="6"/>
      <c r="CJ29" s="6"/>
      <c r="CK29" s="6"/>
      <c r="CL29" s="6"/>
      <c r="CM29" s="6"/>
      <c r="CN29" s="6"/>
      <c r="CO29" s="6"/>
      <c r="CP29" s="586" t="s">
        <v>498</v>
      </c>
      <c r="CQ29" s="586"/>
      <c r="CR29" s="586"/>
      <c r="CS29" s="224"/>
      <c r="CU29" s="235"/>
      <c r="CV29" s="12"/>
      <c r="CW29" s="190"/>
      <c r="CX29" s="6"/>
      <c r="CY29" s="46"/>
      <c r="CZ29" s="130"/>
      <c r="DA29" s="6"/>
      <c r="DB29" s="36"/>
      <c r="DC29" s="243"/>
      <c r="DD29" s="241"/>
      <c r="DE29" s="241"/>
      <c r="DF29" s="241"/>
      <c r="DG29" s="241"/>
      <c r="DH29" s="241"/>
      <c r="DI29" s="241"/>
      <c r="DJ29" s="241"/>
      <c r="DK29" s="241"/>
      <c r="DL29" s="440"/>
      <c r="DM29" s="241"/>
      <c r="DN29" s="241"/>
      <c r="DO29" s="7"/>
    </row>
    <row r="30" spans="1:119" ht="13.5" thickBot="1" x14ac:dyDescent="0.25">
      <c r="A30" s="28"/>
      <c r="B30" s="6"/>
      <c r="C30" s="6"/>
      <c r="D30" s="6"/>
      <c r="E30" s="6"/>
      <c r="F30" s="22" t="s">
        <v>430</v>
      </c>
      <c r="G30" s="6"/>
      <c r="H30" s="6"/>
      <c r="I30" s="6"/>
      <c r="J30" s="566" t="e">
        <f>CONCATENATE("pH ",HLOOKUP(D33,CTtable,17,FALSE),", ",HLOOKUP(D33,CTtable,18,FALSE),"C")</f>
        <v>#N/A</v>
      </c>
      <c r="K30" s="567"/>
      <c r="L30" s="568" t="e">
        <f>CONCATENATE("pH ",HLOOKUP(D34,CTtable,17,FALSE),", ",HLOOKUP(D34,CTtable,18,FALSE),"C")</f>
        <v>#N/A</v>
      </c>
      <c r="M30" s="566"/>
      <c r="N30" s="6"/>
      <c r="O30" s="613" t="e">
        <f>CONCATENATE("pH ",'CT Worksheet'!C13,", ",HLOOKUP(D33,CTtable,18,FALSE),"C")</f>
        <v>#N/A</v>
      </c>
      <c r="P30" s="613"/>
      <c r="Q30" s="613"/>
      <c r="R30" s="6"/>
      <c r="S30" s="6"/>
      <c r="T30" s="6"/>
      <c r="U30" s="7"/>
      <c r="V30" s="28"/>
      <c r="W30" s="58">
        <v>2</v>
      </c>
      <c r="X30" s="75" t="str">
        <f>IF(E31="","",HLOOKUP(E31,CTtable,10,FALSE))</f>
        <v/>
      </c>
      <c r="Y30" s="22" t="str">
        <f>IF(D31="","",HLOOKUP(D31,CTtable,10,FALSE))</f>
        <v/>
      </c>
      <c r="Z30" s="75" t="str">
        <f>IF(E32="","",HLOOKUP(E32,CTtable,10,FALSE))</f>
        <v/>
      </c>
      <c r="AA30" s="73" t="str">
        <f>IF(D32="","",HLOOKUP(D32,CTtable,10,FALSE))</f>
        <v/>
      </c>
      <c r="AB30" s="75" t="str">
        <f>IF(E33="","",HLOOKUP(E33,CTtable,10,FALSE))</f>
        <v/>
      </c>
      <c r="AC30" s="22" t="str">
        <f>IF(D33="","",HLOOKUP(D33,CTtable,10,FALSE))</f>
        <v/>
      </c>
      <c r="AD30" s="75" t="str">
        <f>IF(E34="","",HLOOKUP(E34,CTtable,10,FALSE))</f>
        <v/>
      </c>
      <c r="AE30" s="73" t="str">
        <f>IF(D34="","",HLOOKUP(D34,CTtable,10,FALSE))</f>
        <v/>
      </c>
      <c r="AF30" s="6"/>
      <c r="AG30" s="78" t="str">
        <f t="shared" si="10"/>
        <v/>
      </c>
      <c r="AH30" s="76" t="str">
        <f t="shared" si="10"/>
        <v/>
      </c>
      <c r="AI30" s="78" t="str">
        <f t="shared" si="11"/>
        <v/>
      </c>
      <c r="AJ30" s="79" t="str">
        <f t="shared" si="12"/>
        <v/>
      </c>
      <c r="AK30" s="22"/>
      <c r="AL30" s="78" t="str">
        <f t="shared" si="13"/>
        <v/>
      </c>
      <c r="AM30" s="76" t="str">
        <f t="shared" si="14"/>
        <v/>
      </c>
      <c r="AN30" s="82" t="str">
        <f t="shared" si="15"/>
        <v/>
      </c>
      <c r="AO30" s="7"/>
      <c r="AQ30" s="183" t="s">
        <v>464</v>
      </c>
      <c r="AR30" s="35"/>
      <c r="AS30" s="42" t="str">
        <f>IF(OR(AR22="",AR25="",AR24=3),"",CONCATENATE(AR25,"-",AR22))</f>
        <v/>
      </c>
      <c r="AT30" s="72" t="str">
        <f>IF(OR(AR23="",AR25="",AR24=3),"",IF(AR23=0,0,CONCATENATE(AR25,"-",AR23)))</f>
        <v/>
      </c>
      <c r="AU30" s="6"/>
      <c r="AV30" s="6"/>
      <c r="AW30" s="6"/>
      <c r="AX30" s="6"/>
      <c r="AY30" s="6"/>
      <c r="AZ30" s="6"/>
      <c r="BA30" s="6"/>
      <c r="BB30" s="6"/>
      <c r="BC30" s="6"/>
      <c r="BD30" s="6"/>
      <c r="BE30" s="6"/>
      <c r="BF30" s="7"/>
      <c r="BG30" s="55"/>
      <c r="BH30" s="336" t="s">
        <v>608</v>
      </c>
      <c r="BI30" s="343" t="str">
        <f>IF(OR(logCryptoR="",'CT Worksheet'!B12&lt;&gt;"Chlorine Dioxide"),"",IF((logCryptoR&lt;=0.25),1,IF((logCryptoR&lt;=0.5),2,IF((logCryptoR&lt;=1),3,IF((logCryptoR&lt;=1.5),4,IF((logCryptoR&lt;=2),5,IF((logCryptoR&lt;=2.5),6,7)))))))</f>
        <v/>
      </c>
      <c r="BJ30" s="344">
        <f>IF((BI30=2),((0.5-logCryptoR)/0.25),IF((BI30=3),((1-logCryptoR)/0.5),IF((BI30=4),((1.5-logCryptoR)/0.5),IF((BI30=5),((2-logCryptoR)/0.5),IF((BI30=6),((2.5-logCryptoR)/0.5),IF((BI30=7),((3-logCryptoR)/0.5),IF((BI31=0),((0.25-logCryptoR)/0.25),0)))))))</f>
        <v>0</v>
      </c>
      <c r="BK30" s="6"/>
      <c r="BL30" s="45" t="e">
        <f>CONCATENATE(VLOOKUP(BI28,ClOvTable,2,FALSE)," C")</f>
        <v>#N/A</v>
      </c>
      <c r="BM30" s="145" t="str">
        <f>IF(OR(F4="",BI25="",'CT Worksheet'!C13&gt;9),"",HLOOKUP(BI25,ClOvTable,BI28+2,FALSE))</f>
        <v/>
      </c>
      <c r="BN30" s="145" t="str">
        <f>IF(OR(F4="",BI24="",'CT Worksheet'!C13&gt;9),"",HLOOKUP(BI24,ClOvTable,BI28+2,FALSE))</f>
        <v/>
      </c>
      <c r="BO30" s="22"/>
      <c r="BP30" s="219" t="str">
        <f>IF(OR(BN30="",BM30=""),"",BN30-((BN30-BM30)*BJ24))</f>
        <v/>
      </c>
      <c r="BQ30" s="6"/>
      <c r="BR30" s="182" t="str">
        <f>IF(OR(BP30="",BP31=""),"",BP31-((BP31-BP30)*BJ27))</f>
        <v/>
      </c>
      <c r="BS30" s="7"/>
      <c r="BT30" s="55"/>
      <c r="BU30" s="336" t="s">
        <v>619</v>
      </c>
      <c r="BV30" s="343" t="str">
        <f>IF(OR(logCryptoR="",'CT Worksheet'!B12&lt;&gt;"Ozone"),"",IF((logCryptoR&lt;=0.25),1,IF((logCryptoR&lt;=0.5),2,IF((logCryptoR&lt;=1),3,IF((logCryptoR&lt;=1.5),4,IF((logCryptoR&lt;=2),5,IF((logCryptoR&lt;=2.5),6,7)))))))</f>
        <v/>
      </c>
      <c r="BW30" s="344">
        <f>IF((BV30=2),((0.5-logCryptoR)/0.25),IF((BV30=3),((1-logCryptoR)/0.5),IF((BV30=4),((1.5-logCryptoR)/0.5),IF((BV30=5),((2-logCryptoR)/0.5),IF((BV30=6),((2.5-logCryptoR)/0.5),IF((BV30=7),((3-logCryptoR)/0.5),IF((BV31=0),((0.25-logCryptoR)/0.25),0)))))))</f>
        <v>0</v>
      </c>
      <c r="BX30" s="6"/>
      <c r="BY30" s="45" t="e">
        <f>CONCATENATE(VLOOKUP(BV28,O3vTable,2,FALSE)," C")</f>
        <v>#N/A</v>
      </c>
      <c r="BZ30" s="145" t="str">
        <f>IF(OR(F4="",BV25=""),"",HLOOKUP(BV25,O3vTable,BV28+2,FALSE))</f>
        <v/>
      </c>
      <c r="CA30" s="145" t="str">
        <f>IF(OR(F4="",BV24=""),"",HLOOKUP(BV24,O3vTable,BV28+2,FALSE))</f>
        <v/>
      </c>
      <c r="CB30" s="22"/>
      <c r="CC30" s="219" t="str">
        <f>IF(OR(CA30="",BZ30=""),"",CA30-((CA30-BZ30)*BW24))</f>
        <v/>
      </c>
      <c r="CD30" s="6"/>
      <c r="CE30" s="182" t="str">
        <f>IF(OR(CC30="",CC31=""),"",CC31-((CC31-CC30)*BW27))</f>
        <v/>
      </c>
      <c r="CF30" s="7"/>
      <c r="CH30" s="28"/>
      <c r="CI30" s="6"/>
      <c r="CJ30" s="6"/>
      <c r="CK30" s="6"/>
      <c r="CL30" s="6"/>
      <c r="CM30" s="565" t="s">
        <v>443</v>
      </c>
      <c r="CN30" s="565"/>
      <c r="CO30" s="212"/>
      <c r="CP30" s="147" t="s">
        <v>497</v>
      </c>
      <c r="CQ30" s="147"/>
      <c r="CR30" s="22" t="s">
        <v>58</v>
      </c>
      <c r="CS30" s="7"/>
      <c r="CU30" s="28"/>
      <c r="CV30" s="6"/>
      <c r="CW30" s="6"/>
      <c r="CX30" s="6"/>
      <c r="CY30" s="12"/>
      <c r="CZ30" s="81"/>
      <c r="DA30" s="6"/>
      <c r="DB30" s="12"/>
      <c r="DC30" s="12"/>
      <c r="DD30" s="241"/>
      <c r="DE30" s="241"/>
      <c r="DF30" s="241"/>
      <c r="DG30" s="241"/>
      <c r="DH30" s="241"/>
      <c r="DI30" s="241"/>
      <c r="DJ30" s="241"/>
      <c r="DK30" s="241"/>
      <c r="DL30" s="440"/>
      <c r="DM30" s="241"/>
      <c r="DN30" s="241"/>
      <c r="DO30" s="7"/>
    </row>
    <row r="31" spans="1:119" ht="13.5" thickBot="1" x14ac:dyDescent="0.25">
      <c r="A31" s="31" t="s">
        <v>51</v>
      </c>
      <c r="B31" s="35"/>
      <c r="C31" s="35"/>
      <c r="D31" s="42" t="str">
        <f>IF(OR(B20="",B22="",B24="",B22=8),"",CONCATENATE(B25,"-",B23,"-",B20))</f>
        <v/>
      </c>
      <c r="E31" s="117" t="str">
        <f>IF((D31=""),"",IF(B21=0,0,CONCATENATE(B25,"-",B23,"-",B21)))</f>
        <v/>
      </c>
      <c r="F31" s="72" t="str">
        <f>IF(D31="","",HLOOKUP(D31,CTtable,19,FALSE))</f>
        <v/>
      </c>
      <c r="G31" s="6"/>
      <c r="H31" s="6"/>
      <c r="I31" s="6"/>
      <c r="J31" s="6"/>
      <c r="K31" s="6"/>
      <c r="L31" s="6"/>
      <c r="M31" s="6"/>
      <c r="N31" s="6"/>
      <c r="O31" s="6"/>
      <c r="P31" s="6"/>
      <c r="Q31" s="6"/>
      <c r="R31" s="6"/>
      <c r="S31" s="6"/>
      <c r="T31" s="6"/>
      <c r="U31" s="7"/>
      <c r="V31" s="28"/>
      <c r="W31" s="58">
        <v>2.2000000000000002</v>
      </c>
      <c r="X31" s="106" t="str">
        <f>IF(E31="","",HLOOKUP(E31,CTtable,11,FALSE))</f>
        <v/>
      </c>
      <c r="Y31" s="52" t="str">
        <f>IF(D31="","",HLOOKUP(D31,CTtable,11,FALSE))</f>
        <v/>
      </c>
      <c r="Z31" s="106" t="str">
        <f>IF(E32="","",HLOOKUP(E32,CTtable,11,FALSE))</f>
        <v/>
      </c>
      <c r="AA31" s="107" t="str">
        <f>IF(D32="","",HLOOKUP(D32,CTtable,11,FALSE))</f>
        <v/>
      </c>
      <c r="AB31" s="106" t="str">
        <f>IF(E33="","",HLOOKUP(E33,CTtable,11,FALSE))</f>
        <v/>
      </c>
      <c r="AC31" s="52" t="str">
        <f>IF(D33="","",HLOOKUP(D33,CTtable,11,FALSE))</f>
        <v/>
      </c>
      <c r="AD31" s="106" t="str">
        <f>IF(E34="","",HLOOKUP(E34,CTtable,11,FALSE))</f>
        <v/>
      </c>
      <c r="AE31" s="107" t="str">
        <f>IF(D34="","",HLOOKUP(D34,CTtable,11,FALSE))</f>
        <v/>
      </c>
      <c r="AF31" s="6"/>
      <c r="AG31" s="100" t="str">
        <f t="shared" si="10"/>
        <v/>
      </c>
      <c r="AH31" s="101" t="str">
        <f t="shared" si="10"/>
        <v/>
      </c>
      <c r="AI31" s="100" t="str">
        <f t="shared" si="11"/>
        <v/>
      </c>
      <c r="AJ31" s="108" t="str">
        <f t="shared" si="12"/>
        <v/>
      </c>
      <c r="AK31" s="22"/>
      <c r="AL31" s="78" t="str">
        <f t="shared" si="13"/>
        <v/>
      </c>
      <c r="AM31" s="76" t="str">
        <f t="shared" si="14"/>
        <v/>
      </c>
      <c r="AN31" s="82" t="str">
        <f t="shared" si="15"/>
        <v/>
      </c>
      <c r="AO31" s="7"/>
      <c r="AQ31" s="184" t="s">
        <v>465</v>
      </c>
      <c r="AR31" s="23"/>
      <c r="AS31" s="59" t="str">
        <f>IF(OR(AR22="",AR25="",AR24=3),"",CONCATENATE(AR24,"-",AR22))</f>
        <v/>
      </c>
      <c r="AT31" s="74" t="str">
        <f>IF(OR(AR24="",AR23="",AR24=3),"",IF(AR23=0,0,CONCATENATE(AR24,"-",AR23)))</f>
        <v/>
      </c>
      <c r="AU31" s="6"/>
      <c r="AV31" s="6"/>
      <c r="AW31" s="6"/>
      <c r="AX31" s="6"/>
      <c r="AY31" s="6"/>
      <c r="AZ31" s="6"/>
      <c r="BA31" s="6"/>
      <c r="BB31" s="6"/>
      <c r="BC31" s="6"/>
      <c r="BD31" s="6"/>
      <c r="BE31" s="6"/>
      <c r="BF31" s="7"/>
      <c r="BG31" s="55"/>
      <c r="BH31" s="336" t="s">
        <v>609</v>
      </c>
      <c r="BI31" s="343" t="str">
        <f>IF((BI30=""),"",IF((BI30&gt;=2),(BI30-1),IF((logCryptoR&lt;0.25),0,1)))</f>
        <v/>
      </c>
      <c r="BJ31" s="335"/>
      <c r="BK31" s="6"/>
      <c r="BL31" s="45" t="e">
        <f>CONCATENATE(VLOOKUP(BI27,ClOvTable,2,FALSE)," C")</f>
        <v>#N/A</v>
      </c>
      <c r="BM31" s="145" t="str">
        <f>IF(OR(F4="",BI25="",'CT Worksheet'!C13&gt;9),"",HLOOKUP(BI25,ClOvTable,BI27+2,FALSE))</f>
        <v/>
      </c>
      <c r="BN31" s="145" t="str">
        <f>IF(OR(F4="",BI24="",'CT Worksheet'!C13&gt;9),"",HLOOKUP(BI24,ClOvTable,BI27+2,FALSE))</f>
        <v/>
      </c>
      <c r="BO31" s="22"/>
      <c r="BP31" s="220" t="str">
        <f>IF(OR(BN31="",BM31=""),"",BN31-((BN31-BM31)*BJ24))</f>
        <v/>
      </c>
      <c r="BQ31" s="6"/>
      <c r="BR31" s="181"/>
      <c r="BS31" s="209"/>
      <c r="BT31" s="55"/>
      <c r="BU31" s="336" t="s">
        <v>620</v>
      </c>
      <c r="BV31" s="343" t="str">
        <f>IF((BV30=""),"",IF((BV30&gt;=2),(BV30-1),IF((logCryptoR&lt;0.25),0,1)))</f>
        <v/>
      </c>
      <c r="BW31" s="335"/>
      <c r="BX31" s="6"/>
      <c r="BY31" s="45" t="e">
        <f>CONCATENATE(VLOOKUP(BV27,O3vTable,2,FALSE)," C")</f>
        <v>#N/A</v>
      </c>
      <c r="BZ31" s="145" t="str">
        <f>IF(OR(F4="",BV25=""),"",HLOOKUP(BV25,O3vTable,BV27+2,FALSE))</f>
        <v/>
      </c>
      <c r="CA31" s="145" t="str">
        <f>IF(OR(F4="",BV24=""),"",HLOOKUP(BV24,O3vTable,BV27+2,FALSE))</f>
        <v/>
      </c>
      <c r="CB31" s="22"/>
      <c r="CC31" s="220" t="str">
        <f>IF(OR(CA31="",BZ31=""),"",CA31-((CA31-BZ31)*BW24))</f>
        <v/>
      </c>
      <c r="CD31" s="6"/>
      <c r="CE31" s="181"/>
      <c r="CF31" s="209"/>
      <c r="CH31" s="28"/>
      <c r="CI31" s="6"/>
      <c r="CJ31" s="6"/>
      <c r="CK31" s="6"/>
      <c r="CL31" s="6"/>
      <c r="CM31" s="22" t="e">
        <f>HLOOKUP(CI25,ChloramineTableV,2,FALSE)</f>
        <v>#N/A</v>
      </c>
      <c r="CN31" s="22" t="e">
        <f>HLOOKUP(CI24,ChloramineTableV,2,FALSE)</f>
        <v>#N/A</v>
      </c>
      <c r="CO31" s="22"/>
      <c r="CP31" s="24" t="str">
        <f>CONCATENATE(logGiardiaR,"-log")</f>
        <v>-log</v>
      </c>
      <c r="CQ31" s="6"/>
      <c r="CR31" s="24" t="str">
        <f>CONCATENATE('CT Worksheet'!C11,'CT Worksheet'!D11)</f>
        <v/>
      </c>
      <c r="CS31" s="209"/>
      <c r="CU31" s="183" t="s">
        <v>464</v>
      </c>
      <c r="CV31" s="35"/>
      <c r="CW31" s="117" t="str">
        <f>IF(OR(CV20="",CV23="",CV23=0),"",CONCATENATE(CV23,"-",CV20))</f>
        <v/>
      </c>
      <c r="CX31" s="118" t="str">
        <f>IF(OR(CV21="",CV23="",CV23=0),"",CONCATENATE(CV23,"-",CV21))</f>
        <v/>
      </c>
      <c r="CY31" s="81"/>
      <c r="CZ31" s="81"/>
      <c r="DA31" s="6"/>
      <c r="DB31" s="12"/>
      <c r="DC31" s="12"/>
      <c r="DD31" s="241"/>
      <c r="DE31" s="241"/>
      <c r="DF31" s="241"/>
      <c r="DG31" s="241"/>
      <c r="DH31" s="241"/>
      <c r="DI31" s="241"/>
      <c r="DJ31" s="241"/>
      <c r="DK31" s="241"/>
      <c r="DL31" s="440"/>
      <c r="DM31" s="241"/>
      <c r="DN31" s="241"/>
      <c r="DO31" s="7"/>
    </row>
    <row r="32" spans="1:119" ht="13.5" thickBot="1" x14ac:dyDescent="0.25">
      <c r="A32" s="1" t="s">
        <v>52</v>
      </c>
      <c r="B32" s="6"/>
      <c r="C32" s="6"/>
      <c r="D32" s="22" t="str">
        <f>IF(OR(B20="",B22="",B24="",B22=8),"",CONCATENATE(B25,"-",B22,"-",B20))</f>
        <v/>
      </c>
      <c r="E32" s="81" t="str">
        <f>IF(D32="","",IF(B21=0,0,CONCATENATE(B25,"-",B22,"-",B21)))</f>
        <v/>
      </c>
      <c r="F32" s="73" t="str">
        <f>IF(D32="","",HLOOKUP(D32,CTtable,19,FALSE))</f>
        <v/>
      </c>
      <c r="G32" s="6"/>
      <c r="H32" s="6"/>
      <c r="I32" s="6"/>
      <c r="J32" s="6"/>
      <c r="K32" s="6"/>
      <c r="L32" s="6"/>
      <c r="M32" s="6"/>
      <c r="N32" s="6"/>
      <c r="O32" s="6"/>
      <c r="P32" s="6"/>
      <c r="Q32" s="6"/>
      <c r="R32" s="6"/>
      <c r="S32" s="6"/>
      <c r="T32" s="6"/>
      <c r="U32" s="7"/>
      <c r="V32" s="28"/>
      <c r="W32" s="58">
        <v>2.4</v>
      </c>
      <c r="X32" s="106" t="str">
        <f>IF(E31="","",HLOOKUP(E31,CTtable,12,FALSE))</f>
        <v/>
      </c>
      <c r="Y32" s="52" t="str">
        <f>IF(D31="","",HLOOKUP(D31,CTtable,12,FALSE))</f>
        <v/>
      </c>
      <c r="Z32" s="106" t="str">
        <f>IF(E32="","",HLOOKUP(E32,CTtable,12,FALSE))</f>
        <v/>
      </c>
      <c r="AA32" s="107" t="str">
        <f>IF(D32="","",HLOOKUP(D32,CTtable,12,FALSE))</f>
        <v/>
      </c>
      <c r="AB32" s="106" t="str">
        <f>IF(E33="","",HLOOKUP(E33,CTtable,12,FALSE))</f>
        <v/>
      </c>
      <c r="AC32" s="52" t="str">
        <f>IF(D33="","",HLOOKUP(D33,CTtable,12,FALSE))</f>
        <v/>
      </c>
      <c r="AD32" s="106" t="str">
        <f>IF(E34="","",HLOOKUP(E34,CTtable,12,FALSE))</f>
        <v/>
      </c>
      <c r="AE32" s="107" t="str">
        <f>IF(D34="","",HLOOKUP(D34,CTtable,12,FALSE))</f>
        <v/>
      </c>
      <c r="AF32" s="6"/>
      <c r="AG32" s="100" t="str">
        <f t="shared" si="10"/>
        <v/>
      </c>
      <c r="AH32" s="101" t="str">
        <f t="shared" si="10"/>
        <v/>
      </c>
      <c r="AI32" s="100" t="str">
        <f t="shared" si="11"/>
        <v/>
      </c>
      <c r="AJ32" s="108" t="str">
        <f t="shared" si="12"/>
        <v/>
      </c>
      <c r="AK32" s="22"/>
      <c r="AL32" s="78" t="str">
        <f t="shared" si="13"/>
        <v/>
      </c>
      <c r="AM32" s="76" t="str">
        <f t="shared" si="14"/>
        <v/>
      </c>
      <c r="AN32" s="82" t="str">
        <f t="shared" si="15"/>
        <v/>
      </c>
      <c r="AO32" s="7"/>
      <c r="AQ32" s="28"/>
      <c r="AR32" s="6"/>
      <c r="AS32" s="6"/>
      <c r="AT32" s="6"/>
      <c r="AU32" s="6"/>
      <c r="AV32" s="6"/>
      <c r="AW32" s="6"/>
      <c r="AX32" s="6"/>
      <c r="AY32" s="6"/>
      <c r="AZ32" s="6"/>
      <c r="BA32" s="6"/>
      <c r="BB32" s="6"/>
      <c r="BC32" s="6"/>
      <c r="BD32" s="6"/>
      <c r="BE32" s="6"/>
      <c r="BF32" s="7"/>
      <c r="BG32" s="55"/>
      <c r="BH32" s="336" t="s">
        <v>610</v>
      </c>
      <c r="BI32" s="12" t="str">
        <f>IF(BI34&lt;&gt;"",BI34,IF(BI35=15,14,BI35))</f>
        <v/>
      </c>
      <c r="BJ32" s="190" t="str">
        <f>IF(BJ34="",BJ35,BJ34)</f>
        <v/>
      </c>
      <c r="BS32" s="222"/>
      <c r="BT32" s="55"/>
      <c r="BU32" s="336" t="s">
        <v>610</v>
      </c>
      <c r="BV32" s="12" t="str">
        <f>IF(BV34&lt;&gt;"",BV34,IF(BV35=15,14,BV35))</f>
        <v/>
      </c>
      <c r="BW32" s="190" t="str">
        <f>IF(BW34="",BW35,BW34)</f>
        <v/>
      </c>
      <c r="BX32" s="6"/>
      <c r="CF32" s="222"/>
      <c r="CH32" s="28"/>
      <c r="CI32" s="6"/>
      <c r="CJ32" s="6"/>
      <c r="CK32" s="6"/>
      <c r="CL32" s="45" t="e">
        <f>CONCATENATE(VLOOKUP(CI28,ChloramineTableV,2,FALSE)," C")</f>
        <v>#N/A</v>
      </c>
      <c r="CM32" s="145" t="str">
        <f>IF(OR(F4="",CI25=""),"",HLOOKUP(CI25,ChloramineTableV,CI28+2,FALSE))</f>
        <v/>
      </c>
      <c r="CN32" s="145" t="str">
        <f>IF(OR(F4="",CI24=""),"",HLOOKUP(CI24,ChloramineTableV,CI28+2,FALSE))</f>
        <v/>
      </c>
      <c r="CO32" s="22"/>
      <c r="CP32" s="219" t="str">
        <f>IF(OR(CN32="",CM32=""),"",CN32-((CN32-CM32)*CJ24))</f>
        <v/>
      </c>
      <c r="CQ32" s="6"/>
      <c r="CR32" s="182" t="str">
        <f>IF(OR(CP32="",CP33=""),"",CP33-((CP33-CP32)*CJ27))</f>
        <v/>
      </c>
      <c r="CS32" s="222"/>
      <c r="CU32" s="184" t="s">
        <v>465</v>
      </c>
      <c r="CV32" s="23"/>
      <c r="CW32" s="120" t="str">
        <f>IF(OR(CV20="",CV22="",CV22=0),"",CONCATENATE(CV22,"-",CV20))</f>
        <v/>
      </c>
      <c r="CX32" s="121" t="str">
        <f>IF(OR(CV21="",CV22="",CV22=0),"",CONCATENATE(CV22,"-",CV21))</f>
        <v/>
      </c>
      <c r="CY32" s="81"/>
      <c r="CZ32" s="81"/>
      <c r="DA32" s="6"/>
      <c r="DB32" s="12"/>
      <c r="DC32" s="12"/>
      <c r="DD32" s="241"/>
      <c r="DE32" s="241"/>
      <c r="DF32" s="241"/>
      <c r="DG32" s="241"/>
      <c r="DH32" s="241"/>
      <c r="DI32" s="241"/>
      <c r="DJ32" s="241"/>
      <c r="DK32" s="241"/>
      <c r="DL32" s="440"/>
      <c r="DM32" s="241"/>
      <c r="DN32" s="241"/>
      <c r="DO32" s="7"/>
    </row>
    <row r="33" spans="1:119" x14ac:dyDescent="0.2">
      <c r="A33" s="1" t="s">
        <v>53</v>
      </c>
      <c r="B33" s="6"/>
      <c r="C33" s="6"/>
      <c r="D33" s="22" t="str">
        <f>IF(OR(B20="",B22="",B24="",B22=8),"",CONCATENATE(B24,"-",B23,"-",B20))</f>
        <v/>
      </c>
      <c r="E33" s="81" t="str">
        <f>IF(D33="","",IF(B21=0,0,CONCATENATE(B24,"-",B23,"-",B21)))</f>
        <v/>
      </c>
      <c r="F33" s="73" t="str">
        <f>IF(D33="","",HLOOKUP(D33,CTtable,19,FALSE))</f>
        <v/>
      </c>
      <c r="G33" s="6"/>
      <c r="H33" s="6"/>
      <c r="I33" s="6"/>
      <c r="J33" s="6"/>
      <c r="K33" s="6"/>
      <c r="L33" s="6"/>
      <c r="M33" s="6"/>
      <c r="N33" s="6"/>
      <c r="O33" s="6"/>
      <c r="P33" s="6"/>
      <c r="Q33" s="6"/>
      <c r="R33" s="6"/>
      <c r="S33" s="6"/>
      <c r="T33" s="6"/>
      <c r="U33" s="7"/>
      <c r="V33" s="28"/>
      <c r="W33" s="58">
        <v>2.6</v>
      </c>
      <c r="X33" s="106" t="str">
        <f>IF(E31="","",HLOOKUP(E31,CTtable,13,FALSE))</f>
        <v/>
      </c>
      <c r="Y33" s="52" t="str">
        <f>IF(D31="","",HLOOKUP(D31,CTtable,13,FALSE))</f>
        <v/>
      </c>
      <c r="Z33" s="106" t="str">
        <f>IF(E32="","",HLOOKUP(E32,CTtable,13,FALSE))</f>
        <v/>
      </c>
      <c r="AA33" s="107" t="str">
        <f>IF(D32="","",HLOOKUP(D32,CTtable,13,FALSE))</f>
        <v/>
      </c>
      <c r="AB33" s="106" t="str">
        <f>IF(E33="","",HLOOKUP(E33,CTtable,13,FALSE))</f>
        <v/>
      </c>
      <c r="AC33" s="52" t="str">
        <f>IF(D33="","",HLOOKUP(D33,CTtable,13,FALSE))</f>
        <v/>
      </c>
      <c r="AD33" s="106" t="str">
        <f>IF(E34="","",HLOOKUP(E34,CTtable,13,FALSE))</f>
        <v/>
      </c>
      <c r="AE33" s="107" t="str">
        <f>IF(D34="","",HLOOKUP(D34,CTtable,13,FALSE))</f>
        <v/>
      </c>
      <c r="AF33" s="6"/>
      <c r="AG33" s="78" t="str">
        <f t="shared" si="10"/>
        <v/>
      </c>
      <c r="AH33" s="76" t="str">
        <f t="shared" si="10"/>
        <v/>
      </c>
      <c r="AI33" s="78" t="str">
        <f t="shared" si="11"/>
        <v/>
      </c>
      <c r="AJ33" s="79" t="str">
        <f t="shared" si="12"/>
        <v/>
      </c>
      <c r="AK33" s="22"/>
      <c r="AL33" s="78" t="str">
        <f t="shared" si="13"/>
        <v/>
      </c>
      <c r="AM33" s="76" t="str">
        <f t="shared" si="14"/>
        <v/>
      </c>
      <c r="AN33" s="82" t="str">
        <f t="shared" si="15"/>
        <v/>
      </c>
      <c r="AO33" s="7"/>
      <c r="AQ33" s="28"/>
      <c r="AR33" s="6"/>
      <c r="AS33" s="6"/>
      <c r="AT33" s="6"/>
      <c r="AU33" s="6"/>
      <c r="AV33" s="6"/>
      <c r="AW33" s="6"/>
      <c r="AX33" s="6"/>
      <c r="AY33" s="6"/>
      <c r="AZ33" s="6"/>
      <c r="BA33" s="6"/>
      <c r="BB33" s="6"/>
      <c r="BC33" s="6"/>
      <c r="BD33" s="6"/>
      <c r="BE33" s="6"/>
      <c r="BF33" s="7"/>
      <c r="BG33" s="55"/>
      <c r="BH33" s="336" t="s">
        <v>611</v>
      </c>
      <c r="BI33" s="12" t="str">
        <f>IF(BI32="","",IF(Temp1&gt;=30,11,IF(BI35=15,14,IF(BI32&gt;=2,BI32-1,1))))</f>
        <v/>
      </c>
      <c r="BJ33" s="335"/>
      <c r="BK33" s="12"/>
      <c r="BL33" s="335"/>
      <c r="BM33" s="581" t="s">
        <v>607</v>
      </c>
      <c r="BN33" s="581"/>
      <c r="BO33" s="335"/>
      <c r="BP33" s="336" t="s">
        <v>497</v>
      </c>
      <c r="BQ33" s="335"/>
      <c r="BR33" s="307" t="s">
        <v>58</v>
      </c>
      <c r="BS33" s="222"/>
      <c r="BT33" s="55"/>
      <c r="BU33" s="336" t="s">
        <v>611</v>
      </c>
      <c r="BV33" s="12" t="str">
        <f>IF(BV32="","",IF(Temp1&gt;=30,11,IF(BV35=15,14,IF(BV32&gt;=2,BV32-1,1))))</f>
        <v/>
      </c>
      <c r="BW33" s="335"/>
      <c r="BX33" s="6"/>
      <c r="BY33" s="335"/>
      <c r="BZ33" s="581" t="s">
        <v>607</v>
      </c>
      <c r="CA33" s="581"/>
      <c r="CB33" s="335"/>
      <c r="CC33" s="336" t="s">
        <v>497</v>
      </c>
      <c r="CD33" s="335"/>
      <c r="CE33" s="307" t="s">
        <v>58</v>
      </c>
      <c r="CF33" s="222"/>
      <c r="CH33" s="28"/>
      <c r="CI33" s="6"/>
      <c r="CJ33" s="6"/>
      <c r="CK33" s="6"/>
      <c r="CL33" s="45" t="e">
        <f>CONCATENATE(VLOOKUP(CI27,ChloramineTableV,2,FALSE)," C")</f>
        <v>#N/A</v>
      </c>
      <c r="CM33" s="145" t="str">
        <f>IF(OR(F4="",CI25=""),"",HLOOKUP(CI25,ChloramineTableV,CI27+2,FALSE))</f>
        <v/>
      </c>
      <c r="CN33" s="145" t="str">
        <f>IF(OR(F4="",CI24=""),"",HLOOKUP(CI24,ChloramineTableV,CI27+2,FALSE))</f>
        <v/>
      </c>
      <c r="CO33" s="22"/>
      <c r="CP33" s="220" t="str">
        <f>IF(OR(CN33="",CM33=""),"",CN33-((CN33-CM33)*CJ24))</f>
        <v/>
      </c>
      <c r="CQ33" s="6"/>
      <c r="CR33" s="181"/>
      <c r="CS33" s="222"/>
      <c r="CU33" s="407"/>
      <c r="CV33" s="12"/>
      <c r="CW33" s="12"/>
      <c r="CX33" s="81"/>
      <c r="CY33" s="81"/>
      <c r="CZ33" s="81"/>
      <c r="DA33" s="6"/>
      <c r="DB33" s="6"/>
      <c r="DC33" s="6"/>
      <c r="DD33" s="6"/>
      <c r="DE33" s="6"/>
      <c r="DF33" s="6"/>
      <c r="DG33" s="6"/>
      <c r="DH33" s="6"/>
      <c r="DI33" s="6"/>
      <c r="DJ33" s="6"/>
      <c r="DK33" s="6"/>
      <c r="DL33" s="28"/>
      <c r="DM33" s="6"/>
      <c r="DN33" s="6"/>
      <c r="DO33" s="7"/>
    </row>
    <row r="34" spans="1:119" ht="13.5" thickBot="1" x14ac:dyDescent="0.25">
      <c r="A34" s="33" t="s">
        <v>54</v>
      </c>
      <c r="B34" s="23"/>
      <c r="C34" s="23"/>
      <c r="D34" s="59" t="str">
        <f>IF(OR(B20="",B22="",B24="",B22=8),"",CONCATENATE(B24,"-",B22,"-",B20))</f>
        <v/>
      </c>
      <c r="E34" s="120" t="str">
        <f>IF(D34="","",IF(B21=0,0,CONCATENATE(B24,"-",B22,"-",B21)))</f>
        <v/>
      </c>
      <c r="F34" s="74" t="str">
        <f>IF(D34="","",HLOOKUP(D34,CTtable,19,FALSE))</f>
        <v/>
      </c>
      <c r="G34" s="6"/>
      <c r="H34" s="6"/>
      <c r="I34" s="6"/>
      <c r="J34" s="6"/>
      <c r="K34" s="6"/>
      <c r="L34" s="6"/>
      <c r="M34" s="6"/>
      <c r="N34" s="6"/>
      <c r="O34" s="6"/>
      <c r="P34" s="6"/>
      <c r="Q34" s="6"/>
      <c r="R34" s="6"/>
      <c r="S34" s="6"/>
      <c r="T34" s="6"/>
      <c r="U34" s="7"/>
      <c r="V34" s="28"/>
      <c r="W34" s="58">
        <v>2.8</v>
      </c>
      <c r="X34" s="75" t="str">
        <f>IF(E31="","",HLOOKUP(E31,CTtable,14,FALSE))</f>
        <v/>
      </c>
      <c r="Y34" s="22" t="str">
        <f>IF(D31="","",HLOOKUP(D31,CTtable,14,FALSE))</f>
        <v/>
      </c>
      <c r="Z34" s="75" t="str">
        <f>IF(E32="","",HLOOKUP(E32,CTtable,14,FALSE))</f>
        <v/>
      </c>
      <c r="AA34" s="73" t="str">
        <f>IF(D32="","",HLOOKUP(D32,CTtable,14,FALSE))</f>
        <v/>
      </c>
      <c r="AB34" s="75" t="str">
        <f>IF(E33="","",HLOOKUP(E33,CTtable,14,FALSE))</f>
        <v/>
      </c>
      <c r="AC34" s="22" t="str">
        <f>IF(D33="","",HLOOKUP(D33,CTtable,14,FALSE))</f>
        <v/>
      </c>
      <c r="AD34" s="75" t="str">
        <f>IF(E34="","",HLOOKUP(E34,CTtable,14,FALSE))</f>
        <v/>
      </c>
      <c r="AE34" s="73" t="str">
        <f>IF(D34="","",HLOOKUP(D34,CTtable,14,FALSE))</f>
        <v/>
      </c>
      <c r="AF34" s="6"/>
      <c r="AG34" s="78" t="str">
        <f t="shared" si="10"/>
        <v/>
      </c>
      <c r="AH34" s="76" t="str">
        <f t="shared" si="10"/>
        <v/>
      </c>
      <c r="AI34" s="78" t="str">
        <f t="shared" si="11"/>
        <v/>
      </c>
      <c r="AJ34" s="79" t="str">
        <f t="shared" si="12"/>
        <v/>
      </c>
      <c r="AK34" s="22"/>
      <c r="AL34" s="78" t="str">
        <f t="shared" si="13"/>
        <v/>
      </c>
      <c r="AM34" s="76" t="str">
        <f t="shared" si="14"/>
        <v/>
      </c>
      <c r="AN34" s="82" t="str">
        <f t="shared" si="15"/>
        <v/>
      </c>
      <c r="AO34" s="7"/>
      <c r="AQ34" s="28"/>
      <c r="AR34" s="6"/>
      <c r="AS34" s="6"/>
      <c r="AT34" s="6"/>
      <c r="AU34" s="6"/>
      <c r="AV34" s="6"/>
      <c r="AW34" s="6"/>
      <c r="AX34" s="6"/>
      <c r="AY34" s="6"/>
      <c r="AZ34" s="6"/>
      <c r="BA34" s="6"/>
      <c r="BB34" s="6"/>
      <c r="BC34" s="6"/>
      <c r="BD34" s="6"/>
      <c r="BE34" s="6"/>
      <c r="BF34" s="7"/>
      <c r="BG34" s="55"/>
      <c r="BH34" s="336" t="s">
        <v>614</v>
      </c>
      <c r="BI34" s="335" t="str">
        <f>IF((G4=""),"",IF((G4&lt;=0),"",IF((G4&lt;=0.5),1,IF((G4&lt;=1),2,IF((G4&lt;=2),3,IF((G4&lt;=3),4,IF((G4&lt;=5),5,IF((G4&lt;=7),6,""))))))))</f>
        <v/>
      </c>
      <c r="BJ34" s="351" t="str">
        <f>IF(BI34=1,0,IF(BI34=2,((1-G4)/0.5),IF(BI34=3,((2-G4)/1),IF(BI34=4,((3-G4)/1),IF(BI34=5,((5-G4)/2),IF(BI34=6,((7-G4)/2),""))))))</f>
        <v/>
      </c>
      <c r="BK34" s="190"/>
      <c r="BL34" s="335"/>
      <c r="BM34" s="334" t="e">
        <f>HLOOKUP(BI31,ClOcTable,2,FALSE)</f>
        <v>#N/A</v>
      </c>
      <c r="BN34" s="334" t="e">
        <f>HLOOKUP(BI30,ClOcTable,2,FALSE)</f>
        <v>#N/A</v>
      </c>
      <c r="BO34" s="335"/>
      <c r="BP34" s="337" t="str">
        <f>CONCATENATE(logCryptoR,"-log")</f>
        <v>-log</v>
      </c>
      <c r="BQ34" s="335"/>
      <c r="BR34" s="378" t="str">
        <f>CONCATENATE('CT Worksheet'!C11,'CT Worksheet'!D11)</f>
        <v/>
      </c>
      <c r="BS34" s="7"/>
      <c r="BT34" s="55"/>
      <c r="BU34" s="336" t="s">
        <v>614</v>
      </c>
      <c r="BV34" s="335" t="str">
        <f>IF((G4=""),"",IF((G4&lt;=0),"",IF((G4&lt;=0.5),1,IF((G4&lt;=1),2,IF((G4&lt;=2),3,IF((G4&lt;=3),4,IF((G4&lt;=5),5,IF((G4&lt;=7),6,""))))))))</f>
        <v/>
      </c>
      <c r="BW34" s="351" t="str">
        <f>IF(BI34=1,0,IF(BI34=2,((1-G4)/0.5),IF(BI34=3,((2-G4)/1),IF(BI34=4,((3-G4)/1),IF(BI34=5,((5-G4)/2),IF(BI34=6,((7-G4)/2),""))))))</f>
        <v/>
      </c>
      <c r="BX34" s="22"/>
      <c r="BY34" s="335"/>
      <c r="BZ34" s="334" t="e">
        <f>HLOOKUP(BV31,O3cTable,2,FALSE)</f>
        <v>#N/A</v>
      </c>
      <c r="CA34" s="334" t="e">
        <f>HLOOKUP(BV30,O3cTable,2,FALSE)</f>
        <v>#N/A</v>
      </c>
      <c r="CB34" s="335"/>
      <c r="CC34" s="337" t="str">
        <f>CONCATENATE(logCryptoR,"-log")</f>
        <v>-log</v>
      </c>
      <c r="CD34" s="335"/>
      <c r="CE34" s="378" t="str">
        <f>CONCATENATE('CT Worksheet'!C11,'CT Worksheet'!D11)</f>
        <v/>
      </c>
      <c r="CF34" s="7"/>
      <c r="CH34" s="28"/>
      <c r="CI34" s="6"/>
      <c r="CJ34" s="22"/>
      <c r="CK34" s="22"/>
      <c r="CL34" s="6"/>
      <c r="CM34" s="6"/>
      <c r="CN34" s="6"/>
      <c r="CO34" s="6"/>
      <c r="CP34" s="6"/>
      <c r="CQ34" s="6"/>
      <c r="CR34" s="6"/>
      <c r="CS34" s="7"/>
      <c r="CU34" s="235"/>
      <c r="CV34" s="12"/>
      <c r="CW34" s="12"/>
      <c r="CX34" s="81"/>
      <c r="CY34" s="81"/>
      <c r="CZ34" s="81"/>
      <c r="DA34" s="6"/>
      <c r="DB34" s="6"/>
      <c r="DC34" s="6"/>
      <c r="DD34" s="6"/>
      <c r="DE34" s="6"/>
      <c r="DF34" s="6"/>
      <c r="DG34" s="6"/>
      <c r="DH34" s="6"/>
      <c r="DI34" s="6"/>
      <c r="DJ34" s="6"/>
      <c r="DK34" s="6"/>
      <c r="DL34" s="28"/>
      <c r="DM34" s="6"/>
      <c r="DN34" s="6"/>
      <c r="DO34" s="7"/>
    </row>
    <row r="35" spans="1:119" ht="13.5" thickBot="1" x14ac:dyDescent="0.25">
      <c r="A35" s="28"/>
      <c r="B35" s="6"/>
      <c r="C35" s="6"/>
      <c r="D35" s="6"/>
      <c r="E35" s="6"/>
      <c r="F35" s="22"/>
      <c r="G35" s="6"/>
      <c r="H35" s="6"/>
      <c r="I35" s="6"/>
      <c r="J35" s="6"/>
      <c r="K35" s="6"/>
      <c r="L35" s="6"/>
      <c r="M35" s="6"/>
      <c r="N35" s="6"/>
      <c r="O35" s="6"/>
      <c r="P35" s="6"/>
      <c r="Q35" s="6"/>
      <c r="R35" s="6"/>
      <c r="S35" s="6"/>
      <c r="T35" s="6"/>
      <c r="U35" s="7"/>
      <c r="V35" s="28"/>
      <c r="W35" s="58">
        <v>3</v>
      </c>
      <c r="X35" s="67" t="str">
        <f>IF(E31="","",HLOOKUP(E31,CTtable,15,FALSE))</f>
        <v/>
      </c>
      <c r="Y35" s="59" t="str">
        <f>IF(D31="","",HLOOKUP(D31,CTtable,15,FALSE))</f>
        <v/>
      </c>
      <c r="Z35" s="67" t="str">
        <f>IF(E32="","",HLOOKUP(E32,CTtable,15,FALSE))</f>
        <v/>
      </c>
      <c r="AA35" s="74" t="str">
        <f>IF(D32="","",HLOOKUP(D32,CTtable,15,FALSE))</f>
        <v/>
      </c>
      <c r="AB35" s="67" t="str">
        <f>IF(E33="","",HLOOKUP(E33,CTtable,15,FALSE))</f>
        <v/>
      </c>
      <c r="AC35" s="59" t="str">
        <f>IF(D33="","",HLOOKUP(D33,CTtable,15,FALSE))</f>
        <v/>
      </c>
      <c r="AD35" s="67" t="str">
        <f>IF(E34="","",HLOOKUP(E34,CTtable,15,FALSE))</f>
        <v/>
      </c>
      <c r="AE35" s="74" t="str">
        <f>IF(D34="","",HLOOKUP(D34,CTtable,15,FALSE))</f>
        <v/>
      </c>
      <c r="AF35" s="6"/>
      <c r="AG35" s="69" t="str">
        <f t="shared" si="10"/>
        <v/>
      </c>
      <c r="AH35" s="70" t="str">
        <f t="shared" si="10"/>
        <v/>
      </c>
      <c r="AI35" s="69" t="str">
        <f t="shared" si="11"/>
        <v/>
      </c>
      <c r="AJ35" s="80" t="str">
        <f t="shared" si="12"/>
        <v/>
      </c>
      <c r="AK35" s="22"/>
      <c r="AL35" s="69" t="str">
        <f t="shared" si="13"/>
        <v/>
      </c>
      <c r="AM35" s="70" t="str">
        <f t="shared" si="14"/>
        <v/>
      </c>
      <c r="AN35" s="71" t="str">
        <f t="shared" si="15"/>
        <v/>
      </c>
      <c r="AO35" s="7"/>
      <c r="AQ35" s="28"/>
      <c r="AR35" s="6"/>
      <c r="AS35" s="6"/>
      <c r="AT35" s="6"/>
      <c r="AU35" s="6"/>
      <c r="AV35" s="6"/>
      <c r="AW35" s="6"/>
      <c r="AX35" s="6"/>
      <c r="AY35" s="6"/>
      <c r="AZ35" s="6"/>
      <c r="BA35" s="6"/>
      <c r="BB35" s="6"/>
      <c r="BC35" s="6"/>
      <c r="BD35" s="6"/>
      <c r="BE35" s="6"/>
      <c r="BF35" s="7"/>
      <c r="BG35" s="55"/>
      <c r="BH35" s="336" t="s">
        <v>615</v>
      </c>
      <c r="BI35" s="335" t="str">
        <f>IF(OR(BI34&lt;&gt;"",G4=""),"",IF((G4&lt;=10),7,IF((G4&lt;=15),8,IF((G4&lt;=20),9,IF((G4&lt;=25),10,11)))))</f>
        <v/>
      </c>
      <c r="BJ35" s="351" t="str">
        <f>IF(BI33=11,0,IF(BI35=7,((10-G4)/3),IF(BI35=8,((15-G4)/5),IF(BI35=9,((20-G4)/5),IF(BI35=10,((25-G4)/5),IF(BI35=11,((30-G4)/5),IF(BI35=12,0,"")))))))</f>
        <v/>
      </c>
      <c r="BK35" s="12"/>
      <c r="BL35" s="338" t="e">
        <f>CONCATENATE(VLOOKUP(BI33,ClOcTable,2,FALSE)," C")</f>
        <v>#N/A</v>
      </c>
      <c r="BM35" s="303" t="str">
        <f>IF(OR((F4=""),(BI31="")),"",HLOOKUP(BI31,ClOcTable,(BI33+2),FALSE))</f>
        <v/>
      </c>
      <c r="BN35" s="303" t="str">
        <f>IF(OR((F4=""),(BI30="")),"",HLOOKUP(BI30,ClOcTable,(BI33+2),FALSE))</f>
        <v/>
      </c>
      <c r="BO35" s="320"/>
      <c r="BP35" s="339" t="str">
        <f>IF(OR((BN35=""),(BM35="")),"",(BN35-((BN35-BM35)*BJ30)))</f>
        <v/>
      </c>
      <c r="BQ35" s="315"/>
      <c r="BR35" s="380" t="str">
        <f>IF(OR((BP35=""),(BP36="")),"",(BP36-((BP36-BP35)*BJ32)))</f>
        <v/>
      </c>
      <c r="BS35" s="7"/>
      <c r="BT35" s="55"/>
      <c r="BU35" s="336" t="s">
        <v>615</v>
      </c>
      <c r="BV35" s="335" t="str">
        <f>IF(OR(BI34&lt;&gt;"",G4=""),"",IF((G4&lt;=10),7,IF((G4&lt;=15),8,IF((G4&lt;=20),9,IF((G4&lt;=25),10,11)))))</f>
        <v/>
      </c>
      <c r="BW35" s="351" t="str">
        <f>IF(BV33=11,0,IF(BI35=7,((10-G4)/3),IF(BI35=8,((15-G4)/5),IF(BI35=9,((20-G4)/5),IF(BI35=10,((25-G4)/5),IF(BI35=11,((30-G4)/5),IF(BI35=12,0,"")))))))</f>
        <v/>
      </c>
      <c r="BX35" s="22"/>
      <c r="BY35" s="338" t="e">
        <f>CONCATENATE(VLOOKUP(BV33,O3cTable,2,FALSE)," C")</f>
        <v>#N/A</v>
      </c>
      <c r="BZ35" s="303" t="str">
        <f>IF(OR((F4=""),(BV31="")),"",HLOOKUP(BV31,O3cTable,(BV33+2),FALSE))</f>
        <v/>
      </c>
      <c r="CA35" s="303" t="str">
        <f>IF(OR((F4=""),(BV30="")),"",HLOOKUP(BV30,O3cTable,(BV33+2),FALSE))</f>
        <v/>
      </c>
      <c r="CB35" s="320"/>
      <c r="CC35" s="339" t="str">
        <f>IF(OR((CA35=""),(BZ35="")),"",(CA35-((CA35-BZ35)*BW30)))</f>
        <v/>
      </c>
      <c r="CD35" s="315"/>
      <c r="CE35" s="380" t="str">
        <f>IF(OR((CC35=""),(CC36="")),"",(CC36-((CC36-CC35)*BW32)))</f>
        <v/>
      </c>
      <c r="CF35" s="7"/>
      <c r="CH35" s="28"/>
      <c r="CI35" s="6"/>
      <c r="CJ35" s="22"/>
      <c r="CK35" s="22"/>
      <c r="CL35" s="6"/>
      <c r="CM35" s="6"/>
      <c r="CN35" s="6"/>
      <c r="CO35" s="6"/>
      <c r="CP35" s="6"/>
      <c r="CQ35" s="6"/>
      <c r="CR35" s="6"/>
      <c r="CS35" s="7"/>
      <c r="CU35" s="28"/>
      <c r="CV35" s="6"/>
      <c r="CW35" s="6"/>
      <c r="CX35" s="6"/>
      <c r="CY35" s="12"/>
      <c r="CZ35" s="81"/>
      <c r="DA35" s="6"/>
      <c r="DB35" s="6"/>
      <c r="DC35" s="6"/>
      <c r="DD35" s="6"/>
      <c r="DE35" s="6"/>
      <c r="DF35" s="6"/>
      <c r="DG35" s="6"/>
      <c r="DH35" s="6"/>
      <c r="DI35" s="6"/>
      <c r="DJ35" s="6"/>
      <c r="DK35" s="6"/>
      <c r="DL35" s="28"/>
      <c r="DM35" s="6"/>
      <c r="DN35" s="6"/>
      <c r="DO35" s="7"/>
    </row>
    <row r="36" spans="1:119" ht="13.5" thickBot="1" x14ac:dyDescent="0.25">
      <c r="A36" s="29"/>
      <c r="B36" s="9"/>
      <c r="C36" s="9"/>
      <c r="D36" s="9"/>
      <c r="E36" s="9"/>
      <c r="F36" s="9"/>
      <c r="G36" s="9"/>
      <c r="H36" s="9"/>
      <c r="I36" s="9"/>
      <c r="J36" s="9"/>
      <c r="K36" s="9"/>
      <c r="L36" s="9"/>
      <c r="M36" s="9"/>
      <c r="N36" s="9"/>
      <c r="O36" s="9"/>
      <c r="P36" s="9"/>
      <c r="Q36" s="9"/>
      <c r="R36" s="9"/>
      <c r="S36" s="9"/>
      <c r="T36" s="9"/>
      <c r="U36" s="10"/>
      <c r="V36" s="29"/>
      <c r="W36" s="9"/>
      <c r="X36" s="589" t="e">
        <f>J25</f>
        <v>#N/A</v>
      </c>
      <c r="Y36" s="589"/>
      <c r="Z36" s="589" t="e">
        <f>L25</f>
        <v>#N/A</v>
      </c>
      <c r="AA36" s="589"/>
      <c r="AB36" s="589" t="e">
        <f>J30</f>
        <v>#N/A</v>
      </c>
      <c r="AC36" s="589"/>
      <c r="AD36" s="589" t="e">
        <f>L30</f>
        <v>#N/A</v>
      </c>
      <c r="AE36" s="589"/>
      <c r="AF36" s="9"/>
      <c r="AG36" s="616" t="e">
        <f>O25</f>
        <v>#N/A</v>
      </c>
      <c r="AH36" s="616"/>
      <c r="AI36" s="590" t="e">
        <f>O30</f>
        <v>#N/A</v>
      </c>
      <c r="AJ36" s="616"/>
      <c r="AK36" s="159"/>
      <c r="AL36" s="602" t="str">
        <f>CONCATENATE("pH ",'CT Worksheet'!C13,", ",'CT Worksheet'!C11,'CT Worksheet'!D11)</f>
        <v xml:space="preserve">pH , </v>
      </c>
      <c r="AM36" s="602"/>
      <c r="AN36" s="602"/>
      <c r="AO36" s="10"/>
      <c r="AQ36" s="29"/>
      <c r="AR36" s="9"/>
      <c r="AS36" s="9"/>
      <c r="AT36" s="9"/>
      <c r="AU36" s="9"/>
      <c r="AV36" s="9"/>
      <c r="AW36" s="9"/>
      <c r="AX36" s="9"/>
      <c r="AY36" s="9"/>
      <c r="AZ36" s="9"/>
      <c r="BA36" s="9"/>
      <c r="BB36" s="9"/>
      <c r="BC36" s="9"/>
      <c r="BD36" s="9"/>
      <c r="BE36" s="9"/>
      <c r="BF36" s="10"/>
      <c r="BH36" s="29"/>
      <c r="BI36" s="9"/>
      <c r="BJ36" s="9"/>
      <c r="BK36" s="9"/>
      <c r="BL36" s="341" t="e">
        <f>CONCATENATE(VLOOKUP(BI32,ClOcTable,2,FALSE)," C")</f>
        <v>#N/A</v>
      </c>
      <c r="BM36" s="303" t="str">
        <f>IF(OR((F4=""),(BI31="")),"",HLOOKUP(BI31,ClOcTable,(BI32+2),FALSE))</f>
        <v/>
      </c>
      <c r="BN36" s="303" t="str">
        <f>IF(OR((F4=""),(BI30="")),"",HLOOKUP(BI30,ClOcTable,(BI32+2),FALSE))</f>
        <v/>
      </c>
      <c r="BO36" s="326"/>
      <c r="BP36" s="342" t="str">
        <f>IF(OR((BN36=""),(BM36="")),"",(BN36-((BN36-BM36)*BJ30)))</f>
        <v/>
      </c>
      <c r="BQ36" s="325"/>
      <c r="BR36" s="379"/>
      <c r="BS36" s="10"/>
      <c r="BT36" s="6"/>
      <c r="BU36" s="29"/>
      <c r="BV36" s="9"/>
      <c r="BW36" s="9"/>
      <c r="BX36" s="9"/>
      <c r="BY36" s="341" t="e">
        <f>CONCATENATE(VLOOKUP(BV32,O3cTable,2,FALSE)," C")</f>
        <v>#N/A</v>
      </c>
      <c r="BZ36" s="303" t="str">
        <f>IF(OR((F4=""),(BV31="")),"",HLOOKUP(BV31,O3cTable,(BV32+2),FALSE))</f>
        <v/>
      </c>
      <c r="CA36" s="303" t="str">
        <f>IF(OR((F4=""),(BV30="")),"",HLOOKUP(BV30,O3cTable,(BV32+2),FALSE))</f>
        <v/>
      </c>
      <c r="CB36" s="326"/>
      <c r="CC36" s="342" t="str">
        <f>IF(OR((CA36=""),(BZ36="")),"",(CA36-((CA36-BZ36)*BW30)))</f>
        <v/>
      </c>
      <c r="CD36" s="325"/>
      <c r="CE36" s="379"/>
      <c r="CF36" s="10"/>
      <c r="CH36" s="29"/>
      <c r="CI36" s="9"/>
      <c r="CJ36" s="9"/>
      <c r="CK36" s="9"/>
      <c r="CL36" s="9"/>
      <c r="CM36" s="9"/>
      <c r="CN36" s="9"/>
      <c r="CO36" s="9"/>
      <c r="CP36" s="9"/>
      <c r="CQ36" s="9"/>
      <c r="CR36" s="9"/>
      <c r="CS36" s="10"/>
      <c r="CU36" s="29"/>
      <c r="CV36" s="9"/>
      <c r="CW36" s="9"/>
      <c r="CX36" s="9"/>
      <c r="CY36" s="9"/>
      <c r="CZ36" s="9"/>
      <c r="DA36" s="9"/>
      <c r="DB36" s="9"/>
      <c r="DC36" s="9"/>
      <c r="DD36" s="9"/>
      <c r="DE36" s="9"/>
      <c r="DF36" s="9"/>
      <c r="DG36" s="9"/>
      <c r="DH36" s="9"/>
      <c r="DI36" s="9"/>
      <c r="DJ36" s="9"/>
      <c r="DK36" s="9"/>
      <c r="DL36" s="29"/>
      <c r="DM36" s="9"/>
      <c r="DN36" s="9"/>
      <c r="DO36" s="10"/>
    </row>
    <row r="37" spans="1:119" x14ac:dyDescent="0.2">
      <c r="A37" s="28"/>
      <c r="B37" s="6"/>
      <c r="C37" s="6" t="s">
        <v>50</v>
      </c>
      <c r="D37" s="6"/>
      <c r="E37" s="6"/>
      <c r="F37" s="22" t="s">
        <v>105</v>
      </c>
      <c r="G37" s="4" t="s">
        <v>485</v>
      </c>
      <c r="H37" s="6"/>
      <c r="I37" s="6"/>
      <c r="J37" s="586" t="s">
        <v>105</v>
      </c>
      <c r="K37" s="586"/>
      <c r="L37" s="586" t="s">
        <v>49</v>
      </c>
      <c r="M37" s="586"/>
      <c r="N37" s="6"/>
      <c r="O37" s="586" t="s">
        <v>56</v>
      </c>
      <c r="P37" s="586"/>
      <c r="Q37" s="22" t="s">
        <v>57</v>
      </c>
      <c r="R37" s="6"/>
      <c r="S37" s="6" t="s">
        <v>58</v>
      </c>
      <c r="T37" s="6" t="s">
        <v>59</v>
      </c>
      <c r="U37" s="7"/>
      <c r="V37" s="27"/>
      <c r="W37" s="4"/>
      <c r="X37" s="585" t="s">
        <v>459</v>
      </c>
      <c r="Y37" s="585"/>
      <c r="Z37" s="585"/>
      <c r="AA37" s="585"/>
      <c r="AB37" s="585"/>
      <c r="AC37" s="585"/>
      <c r="AD37" s="585"/>
      <c r="AE37" s="585"/>
      <c r="AF37" s="4"/>
      <c r="AG37" s="571" t="str">
        <f>O37</f>
        <v>Interpolate pH</v>
      </c>
      <c r="AH37" s="571"/>
      <c r="AI37" s="571"/>
      <c r="AJ37" s="571"/>
      <c r="AK37" s="4"/>
      <c r="AL37" s="571" t="s">
        <v>151</v>
      </c>
      <c r="AM37" s="571"/>
      <c r="AN37" s="4" t="s">
        <v>152</v>
      </c>
      <c r="AO37" s="5"/>
      <c r="AQ37" s="27"/>
      <c r="AR37" s="4"/>
      <c r="AS37" s="4"/>
      <c r="AT37" s="4"/>
      <c r="AU37" s="4"/>
      <c r="AV37" s="4"/>
      <c r="AW37" s="4"/>
      <c r="AX37" s="4"/>
      <c r="AY37" s="4"/>
      <c r="AZ37" s="4"/>
      <c r="BA37" s="4"/>
      <c r="BB37" s="4"/>
      <c r="BC37" s="4"/>
      <c r="BD37" s="4"/>
      <c r="BE37" s="4"/>
      <c r="BF37" s="5"/>
      <c r="BH37" s="27"/>
      <c r="BI37" s="4"/>
      <c r="BJ37" s="4"/>
      <c r="BK37" s="4"/>
      <c r="BL37" s="4"/>
      <c r="BM37" s="4"/>
      <c r="BN37" s="4"/>
      <c r="BO37" s="4"/>
      <c r="BP37" s="4"/>
      <c r="BQ37" s="4"/>
      <c r="BR37" s="4"/>
      <c r="BS37" s="5"/>
      <c r="BT37" s="6"/>
      <c r="BU37" s="27"/>
      <c r="BV37" s="4"/>
      <c r="BW37" s="4"/>
      <c r="BX37" s="4"/>
      <c r="BY37" s="4"/>
      <c r="BZ37" s="4"/>
      <c r="CA37" s="4"/>
      <c r="CB37" s="4"/>
      <c r="CC37" s="4"/>
      <c r="CD37" s="4"/>
      <c r="CE37" s="4"/>
      <c r="CF37" s="5"/>
      <c r="CH37" s="27"/>
      <c r="CI37" s="4"/>
      <c r="CJ37" s="4"/>
      <c r="CK37" s="4"/>
      <c r="CL37" s="4"/>
      <c r="CM37" s="4"/>
      <c r="CN37" s="4"/>
      <c r="CO37" s="4"/>
      <c r="CP37" s="4"/>
      <c r="CQ37" s="4"/>
      <c r="CR37" s="4"/>
      <c r="CS37" s="5"/>
      <c r="CU37" s="27"/>
      <c r="CV37" s="4"/>
      <c r="CW37" s="4" t="s">
        <v>50</v>
      </c>
      <c r="CX37" s="4"/>
      <c r="CY37" s="4"/>
      <c r="CZ37" s="412" t="s">
        <v>105</v>
      </c>
      <c r="DA37" s="406" t="s">
        <v>652</v>
      </c>
      <c r="DB37" s="4"/>
      <c r="DC37" s="4"/>
      <c r="DD37" s="571"/>
      <c r="DE37" s="571"/>
      <c r="DF37" s="571" t="s">
        <v>56</v>
      </c>
      <c r="DG37" s="571"/>
      <c r="DH37" s="412" t="s">
        <v>634</v>
      </c>
      <c r="DI37" s="411"/>
      <c r="DJ37" s="4" t="s">
        <v>58</v>
      </c>
      <c r="DK37" s="4"/>
      <c r="DL37" s="570" t="s">
        <v>664</v>
      </c>
      <c r="DM37" s="571"/>
      <c r="DN37" s="571"/>
      <c r="DO37" s="572"/>
    </row>
    <row r="38" spans="1:119" x14ac:dyDescent="0.2">
      <c r="A38" s="28" t="s">
        <v>446</v>
      </c>
      <c r="B38" s="43" t="str">
        <f>IF(OR(logGiardiaR="",'CT Worksheet'!B17&lt;&gt;"Cl2 (free)"),"",IF(logGiardiaR&lt;=0.5,1,IF(logGiardiaR&lt;=1,2,IF(logGiardiaR&lt;=1.5,3,IF('CT Worksheet'!S3&lt;=2,4,IF(logGiardiaR&lt;=2.5,5,6))))))</f>
        <v/>
      </c>
      <c r="C38" s="44">
        <f>IF(B38=2,((1-logGiardiaR)/0.5),IF(B38=3,((1.5-logGiardiaR)/0.5),IF(B38=4,((2-logGiardiaR)/0.5),IF(B38=5,((2.5-logGiardiaR)/0.5),IF(B38=6,((3-logGiardiaR)/0.5),IF(B39=0,(0.5-logGiardiaR)/0.5,0))))))</f>
        <v>0</v>
      </c>
      <c r="D38" s="6"/>
      <c r="E38" s="6"/>
      <c r="F38" s="47" t="str">
        <f>'CT Worksheet'!B15</f>
        <v>Segment 2</v>
      </c>
      <c r="G38" s="6"/>
      <c r="H38" s="6"/>
      <c r="I38" s="6"/>
      <c r="J38" s="47" t="str">
        <f>F38</f>
        <v>Segment 2</v>
      </c>
      <c r="K38" s="47"/>
      <c r="L38" s="48"/>
      <c r="M38" s="6"/>
      <c r="N38" s="22"/>
      <c r="O38" s="6"/>
      <c r="P38" s="6"/>
      <c r="Q38" s="6"/>
      <c r="R38" s="6"/>
      <c r="S38" s="6"/>
      <c r="T38" s="6"/>
      <c r="U38" s="7"/>
      <c r="V38" s="28"/>
      <c r="W38" s="6"/>
      <c r="X38" s="587" t="str">
        <f>J40</f>
        <v xml:space="preserve">CT Table </v>
      </c>
      <c r="Y38" s="603"/>
      <c r="Z38" s="587" t="str">
        <f>L40</f>
        <v xml:space="preserve">CT Table </v>
      </c>
      <c r="AA38" s="588"/>
      <c r="AB38" s="603" t="str">
        <f>J45</f>
        <v xml:space="preserve">CT Table </v>
      </c>
      <c r="AC38" s="603"/>
      <c r="AD38" s="587" t="str">
        <f>L45</f>
        <v xml:space="preserve">CT Table </v>
      </c>
      <c r="AE38" s="588"/>
      <c r="AF38" s="6"/>
      <c r="AG38" s="22"/>
      <c r="AH38" s="22"/>
      <c r="AI38" s="22"/>
      <c r="AJ38" s="22"/>
      <c r="AK38" s="22"/>
      <c r="AL38" s="22"/>
      <c r="AM38" s="22"/>
      <c r="AN38" s="6"/>
      <c r="AO38" s="7"/>
      <c r="AQ38" s="28"/>
      <c r="AR38" s="6"/>
      <c r="AS38" s="6"/>
      <c r="AT38" s="6"/>
      <c r="AU38" s="6"/>
      <c r="AV38" s="586" t="s">
        <v>487</v>
      </c>
      <c r="AW38" s="586"/>
      <c r="AX38" s="586"/>
      <c r="AY38" s="586"/>
      <c r="AZ38" s="6"/>
      <c r="BA38" s="6"/>
      <c r="BB38" s="6"/>
      <c r="BC38" s="6"/>
      <c r="BD38" s="6"/>
      <c r="BE38" s="6"/>
      <c r="BF38" s="7"/>
      <c r="BH38" s="28"/>
      <c r="BI38" s="6"/>
      <c r="BJ38" s="6"/>
      <c r="BK38" s="6"/>
      <c r="BL38" s="6"/>
      <c r="BM38" s="586" t="s">
        <v>521</v>
      </c>
      <c r="BN38" s="586"/>
      <c r="BO38" s="586"/>
      <c r="BP38" s="586"/>
      <c r="BQ38" s="6"/>
      <c r="BR38" s="6"/>
      <c r="BS38" s="7"/>
      <c r="BT38" s="6"/>
      <c r="BU38" s="28"/>
      <c r="BV38" s="6"/>
      <c r="BW38" s="6"/>
      <c r="BX38" s="6"/>
      <c r="BY38" s="6"/>
      <c r="BZ38" s="586" t="s">
        <v>523</v>
      </c>
      <c r="CA38" s="586"/>
      <c r="CB38" s="586"/>
      <c r="CC38" s="586"/>
      <c r="CD38" s="6"/>
      <c r="CE38" s="6"/>
      <c r="CF38" s="7"/>
      <c r="CH38" s="28"/>
      <c r="CI38" s="6"/>
      <c r="CJ38" s="6"/>
      <c r="CK38" s="6"/>
      <c r="CL38" s="6"/>
      <c r="CM38" s="586" t="s">
        <v>524</v>
      </c>
      <c r="CN38" s="586"/>
      <c r="CO38" s="586"/>
      <c r="CP38" s="586"/>
      <c r="CQ38" s="6"/>
      <c r="CR38" s="6"/>
      <c r="CS38" s="7"/>
      <c r="CU38" s="28" t="s">
        <v>446</v>
      </c>
      <c r="CV38" s="43" t="str">
        <f>IF(OR(MicrocystinR="",'CT Worksheet'!$B17&lt;&gt;"Cl2 (free)"),"",IF(MicrocystinR&lt;=10,1,IF(MicrocystinR&lt;=50,2,3)))</f>
        <v/>
      </c>
      <c r="CW38" s="190">
        <f>IF(CV38=2,((50-MicrocystinR)/40),IF(CV38=3,((100-MicrocystinR)/50),IF(CV39=0,(10-MicrocystinR)/10,0)))</f>
        <v>0</v>
      </c>
      <c r="CX38" s="6"/>
      <c r="CY38" s="6"/>
      <c r="CZ38" s="211">
        <f>'CT Worksheet'!Q15</f>
        <v>0</v>
      </c>
      <c r="DA38" s="12"/>
      <c r="DB38" s="12"/>
      <c r="DC38" s="12"/>
      <c r="DD38" s="564"/>
      <c r="DE38" s="564"/>
      <c r="DF38" s="6"/>
      <c r="DG38" s="6"/>
      <c r="DH38" s="22"/>
      <c r="DI38" s="6"/>
      <c r="DL38" s="28"/>
      <c r="DM38" s="6"/>
      <c r="DN38" s="6"/>
      <c r="DO38" s="7"/>
    </row>
    <row r="39" spans="1:119" ht="13.5" thickBot="1" x14ac:dyDescent="0.25">
      <c r="A39" s="28" t="s">
        <v>447</v>
      </c>
      <c r="B39" s="12" t="str">
        <f>IF(B38="","",IF(B38&gt;=2,B38-1,IF('CT Worksheet'!S3&lt;0.5,0,1)))</f>
        <v/>
      </c>
      <c r="C39" s="6"/>
      <c r="D39" s="6"/>
      <c r="E39" s="6"/>
      <c r="F39" s="22"/>
      <c r="G39" s="6"/>
      <c r="H39" s="6"/>
      <c r="I39" s="6"/>
      <c r="J39" s="39" t="e">
        <f>VLOOKUP(B39,[0]!Categories,2,FALSE)</f>
        <v>#N/A</v>
      </c>
      <c r="K39" s="39" t="e">
        <f>VLOOKUP(B38,[0]!Categories,2,FALSE)</f>
        <v>#N/A</v>
      </c>
      <c r="L39" s="38" t="e">
        <f>J39</f>
        <v>#N/A</v>
      </c>
      <c r="M39" s="39" t="e">
        <f>K39</f>
        <v>#N/A</v>
      </c>
      <c r="N39" s="6"/>
      <c r="O39" s="39" t="e">
        <f>J39</f>
        <v>#N/A</v>
      </c>
      <c r="P39" s="39" t="e">
        <f>K39</f>
        <v>#N/A</v>
      </c>
      <c r="Q39" s="24" t="str">
        <f>CONCATENATE(logGiardiaR,"-log")</f>
        <v>-log</v>
      </c>
      <c r="R39" s="6"/>
      <c r="S39" s="26" t="str">
        <f>CONCATENATE('CT Worksheet'!C16,'CT Worksheet'!D16)</f>
        <v/>
      </c>
      <c r="T39" s="26" t="str">
        <f>CONCATENATE('CT Worksheet'!C17,'CT Worksheet'!D17)</f>
        <v>mg/l</v>
      </c>
      <c r="U39" s="7"/>
      <c r="V39" s="28"/>
      <c r="W39" s="22" t="s">
        <v>150</v>
      </c>
      <c r="X39" s="49" t="e">
        <f>J39</f>
        <v>#N/A</v>
      </c>
      <c r="Y39" s="50" t="e">
        <f>K39</f>
        <v>#N/A</v>
      </c>
      <c r="Z39" s="49" t="e">
        <f>L39</f>
        <v>#N/A</v>
      </c>
      <c r="AA39" s="51" t="e">
        <f>M39</f>
        <v>#N/A</v>
      </c>
      <c r="AB39" s="50" t="e">
        <f>J39</f>
        <v>#N/A</v>
      </c>
      <c r="AC39" s="50" t="e">
        <f>K39</f>
        <v>#N/A</v>
      </c>
      <c r="AD39" s="49" t="e">
        <f>L39</f>
        <v>#N/A</v>
      </c>
      <c r="AE39" s="51" t="e">
        <f>M39</f>
        <v>#N/A</v>
      </c>
      <c r="AF39" s="6"/>
      <c r="AG39" s="81" t="e">
        <f>X39</f>
        <v>#N/A</v>
      </c>
      <c r="AH39" s="22" t="e">
        <f>Y39</f>
        <v>#N/A</v>
      </c>
      <c r="AI39" s="22" t="e">
        <f>AB39</f>
        <v>#N/A</v>
      </c>
      <c r="AJ39" s="22" t="e">
        <f>AE39</f>
        <v>#N/A</v>
      </c>
      <c r="AK39" s="22"/>
      <c r="AL39" s="22" t="e">
        <f>AG39</f>
        <v>#N/A</v>
      </c>
      <c r="AM39" s="22" t="e">
        <f>AH39</f>
        <v>#N/A</v>
      </c>
      <c r="AN39" s="26" t="str">
        <f>Q39</f>
        <v>-log</v>
      </c>
      <c r="AO39" s="7"/>
      <c r="AQ39" s="28"/>
      <c r="AR39" s="6"/>
      <c r="AS39" s="6" t="s">
        <v>50</v>
      </c>
      <c r="AT39" s="6"/>
      <c r="AU39" s="6"/>
      <c r="AV39" s="569" t="str">
        <f>F38</f>
        <v>Segment 2</v>
      </c>
      <c r="AW39" s="569"/>
      <c r="AX39" s="569"/>
      <c r="AY39" s="569"/>
      <c r="AZ39" s="6"/>
      <c r="BA39" s="586" t="s">
        <v>56</v>
      </c>
      <c r="BB39" s="586"/>
      <c r="BC39" s="22" t="s">
        <v>57</v>
      </c>
      <c r="BD39" s="6"/>
      <c r="BE39" s="22" t="s">
        <v>58</v>
      </c>
      <c r="BF39" s="7"/>
      <c r="BH39" s="28"/>
      <c r="BI39" s="6"/>
      <c r="BJ39" s="6" t="s">
        <v>50</v>
      </c>
      <c r="BK39" s="6"/>
      <c r="BL39" s="6"/>
      <c r="BM39" s="569" t="str">
        <f>F38</f>
        <v>Segment 2</v>
      </c>
      <c r="BN39" s="569"/>
      <c r="BO39" s="569"/>
      <c r="BP39" s="569"/>
      <c r="BQ39" s="6"/>
      <c r="BR39" s="6"/>
      <c r="BS39" s="7"/>
      <c r="BT39" s="22"/>
      <c r="BU39" s="28"/>
      <c r="BV39" s="6"/>
      <c r="BW39" s="6" t="s">
        <v>50</v>
      </c>
      <c r="BX39" s="6"/>
      <c r="BY39" s="6"/>
      <c r="BZ39" s="569" t="str">
        <f>F38</f>
        <v>Segment 2</v>
      </c>
      <c r="CA39" s="569"/>
      <c r="CB39" s="569"/>
      <c r="CC39" s="569"/>
      <c r="CD39" s="6"/>
      <c r="CE39" s="6"/>
      <c r="CF39" s="7"/>
      <c r="CH39" s="28"/>
      <c r="CI39" s="6"/>
      <c r="CJ39" s="6" t="s">
        <v>50</v>
      </c>
      <c r="CK39" s="6"/>
      <c r="CL39" s="6"/>
      <c r="CM39" s="569" t="str">
        <f>F38</f>
        <v>Segment 2</v>
      </c>
      <c r="CN39" s="569"/>
      <c r="CO39" s="569"/>
      <c r="CP39" s="569"/>
      <c r="CQ39" s="6"/>
      <c r="CR39" s="6"/>
      <c r="CS39" s="7"/>
      <c r="CU39" s="28" t="s">
        <v>447</v>
      </c>
      <c r="CV39" s="12" t="str">
        <f>IF(CV38="","",IF(MicrocystinR&lt;10,0,IF(CV38&gt;2,CV38-1,1)))</f>
        <v/>
      </c>
      <c r="CW39" s="12"/>
      <c r="CX39" s="6"/>
      <c r="CY39" s="6"/>
      <c r="CZ39" s="22"/>
      <c r="DA39" s="6"/>
      <c r="DB39" s="12"/>
      <c r="DC39" s="12"/>
      <c r="DD39" s="143"/>
      <c r="DE39" s="143"/>
      <c r="DF39" s="143"/>
      <c r="DG39" s="143"/>
      <c r="DH39" s="12"/>
      <c r="DI39" s="143"/>
      <c r="DJ39" s="143"/>
      <c r="DK39" s="211"/>
      <c r="DL39" s="235"/>
      <c r="DM39" s="211"/>
      <c r="DN39" s="409"/>
      <c r="DO39" s="7"/>
    </row>
    <row r="40" spans="1:119" ht="13.5" thickBot="1" x14ac:dyDescent="0.25">
      <c r="A40" s="28" t="s">
        <v>70</v>
      </c>
      <c r="B40" s="6" t="str">
        <f>IF(pH_2="","",IF(pH_2&lt;=6,1,IF(pH_2&lt;=6.5,2,IF(pH_2&lt;=7,3,IF(pH_2&lt;=7.5,4,IF(pH_2&lt;=8,5,IF(pH_2&lt;=8.5,6,IF(pH_2&lt;=9,7,8))))))))</f>
        <v/>
      </c>
      <c r="C40" s="44">
        <f>IF(B40=2,((6.5-pH_2)/0.5),IF(B40=3,((7-pH_2)/0.5),IF(B40=4,((7.5-pH_2)/0.5),IF(B40=5,((8-pH_2)/0.5),IF(B40=6,((8.5-pH_2)/0.5),IF(B40=7,((9-pH_2)/0.5),0))))))</f>
        <v>0</v>
      </c>
      <c r="D40" s="6"/>
      <c r="E40" s="6"/>
      <c r="G40" s="22"/>
      <c r="H40" s="6"/>
      <c r="I40" s="6"/>
      <c r="J40" s="608" t="str">
        <f>CONCATENATE("CT Table ",F49)</f>
        <v xml:space="preserve">CT Table </v>
      </c>
      <c r="K40" s="609"/>
      <c r="L40" s="614" t="str">
        <f>CONCATENATE("CT Table ",F50)</f>
        <v xml:space="preserve">CT Table </v>
      </c>
      <c r="M40" s="615"/>
      <c r="N40" s="6"/>
      <c r="O40" s="6"/>
      <c r="P40" s="6"/>
      <c r="Q40" s="6"/>
      <c r="R40" s="6"/>
      <c r="S40" s="6"/>
      <c r="T40" s="6"/>
      <c r="U40" s="7"/>
      <c r="V40" s="28"/>
      <c r="W40" s="57">
        <v>0.4</v>
      </c>
      <c r="X40" s="75" t="str">
        <f>IF(E49="","",HLOOKUP(E49,CTtable,2,FALSE))</f>
        <v/>
      </c>
      <c r="Y40" s="22" t="str">
        <f>IF(D49="","",HLOOKUP(D49,CTtable,2,FALSE))</f>
        <v/>
      </c>
      <c r="Z40" s="75" t="str">
        <f>IF(E50="","",HLOOKUP(E50,CTtable,2,FALSE))</f>
        <v/>
      </c>
      <c r="AA40" s="73" t="str">
        <f>IF(D50="","",HLOOKUP(D50,CTtable,2,FALSE))</f>
        <v/>
      </c>
      <c r="AB40" s="75" t="str">
        <f>IF(E51="","",HLOOKUP(E51,CTtable,2,FALSE))</f>
        <v/>
      </c>
      <c r="AC40" s="22" t="str">
        <f>IF(D51="","",HLOOKUP(D51,CTtable,2,FALSE))</f>
        <v/>
      </c>
      <c r="AD40" s="75" t="str">
        <f>IF(E52="","",HLOOKUP(E52,CTtable,2,FALSE))</f>
        <v/>
      </c>
      <c r="AE40" s="73" t="str">
        <f>IF(D$52="","",HLOOKUP(D$52,CTtable,2,FALSE))</f>
        <v/>
      </c>
      <c r="AF40" s="6"/>
      <c r="AG40" s="63" t="str">
        <f>IF(OR(X40="",Z40=""),"",Z40-((Z40-X40)*pH2fraction))</f>
        <v/>
      </c>
      <c r="AH40" s="64" t="str">
        <f>IF(OR(Y40="",AA40=""),"",AA40-((AA40-Y40)*pH2fraction))</f>
        <v/>
      </c>
      <c r="AI40" s="63" t="str">
        <f>IF(OR(AB40="",AD40=""),"",AD40-((AD40-AB40)*pH2fraction))</f>
        <v/>
      </c>
      <c r="AJ40" s="77" t="str">
        <f>IF(OR(AC40="",AE40=""),"",AE40-((AE40-AC40)*pH2fraction))</f>
        <v/>
      </c>
      <c r="AK40" s="22"/>
      <c r="AL40" s="98" t="str">
        <f>IF(OR(AG40="",AI40=""),"",AI40-((AI40-AG40)*Temp2fraction))</f>
        <v/>
      </c>
      <c r="AM40" s="99" t="str">
        <f>IF(OR(AH40="",AJ40=""),"",AJ40-((AJ40-AH40)*Temp2fraction))</f>
        <v/>
      </c>
      <c r="AN40" s="111" t="str">
        <f>IF(OR(AL40="",AM40=""),"",AM40-((AM40-AL40)*logIfraction))</f>
        <v/>
      </c>
      <c r="AO40" s="7"/>
      <c r="AQ40" s="28" t="s">
        <v>460</v>
      </c>
      <c r="AR40" s="6" t="str">
        <f>IF(OR(logVirusR="",'CT Worksheet'!B17&lt;&gt;"Cl2 (free)"),"",IF(logVirusR&lt;=2,1,IF(logVirusR&lt;=3,2,IF(logVirusR&lt;=4,3,4))))</f>
        <v/>
      </c>
      <c r="AS40" s="190">
        <f>IF(AR40=2,(3-logVirusR)/1,IF(AR40=3,(4-logVirusR)/1,IF(AR41=0,(2-logVirusR)/2,0)))</f>
        <v>0</v>
      </c>
      <c r="AT40" s="6"/>
      <c r="AU40" s="6"/>
      <c r="AV40" s="6"/>
      <c r="AW40" s="6"/>
      <c r="AX40" s="6"/>
      <c r="AY40" s="6"/>
      <c r="AZ40" s="6"/>
      <c r="BA40" s="6"/>
      <c r="BB40" s="6"/>
      <c r="BC40" s="6"/>
      <c r="BD40" s="6"/>
      <c r="BE40" s="6"/>
      <c r="BF40" s="7"/>
      <c r="BH40" s="28" t="s">
        <v>493</v>
      </c>
      <c r="BI40" s="217" t="str">
        <f>IF(OR(logGiardiaR="",'CT Worksheet'!B17&lt;&gt;"Chlorine Dioxide"),"",IF(logGiardiaR&lt;=0.5,1,IF(logGiardiaR&lt;=1,2,IF(logGiardiaR&lt;=1.5,3,IF(logGiardiaR&lt;=2,4,IF(logGiardiaR&lt;=2.5,5,6))))))</f>
        <v/>
      </c>
      <c r="BJ40" s="190">
        <f>IF(BI40=2,((1-logGiardiaR)/0.5),IF(BI40=3,((1.5-logGiardiaR)/0.5),IF(BI40=4,((2-logGiardiaR)/0.5),IF(BI40=5,((2.5-logGiardiaR)/0.5),IF(BI40=6,((3-logGiardiaR)/0.5),IF(BI41=0,(0.5-logGiardiaR)/0.5,0))))))</f>
        <v>0</v>
      </c>
      <c r="BK40" s="6"/>
      <c r="BL40" s="6"/>
      <c r="BM40" s="6"/>
      <c r="BN40" s="6"/>
      <c r="BO40" s="6"/>
      <c r="BP40" s="586" t="s">
        <v>498</v>
      </c>
      <c r="BQ40" s="586"/>
      <c r="BR40" s="586"/>
      <c r="BS40" s="224"/>
      <c r="BT40" s="6"/>
      <c r="BU40" s="28" t="s">
        <v>504</v>
      </c>
      <c r="BV40" s="217" t="str">
        <f>IF(OR(logGiardiaR="",'CT Worksheet'!B17&lt;&gt;"Ozone"),"",IF(logGiardiaR&lt;=0.5,1,IF(logGiardiaR&lt;=1,2,IF(logGiardiaR&lt;=1.5,3,IF(logGiardiaR&lt;=2,4,IF(logGiardiaR&lt;=2.5,5,6))))))</f>
        <v/>
      </c>
      <c r="BW40" s="190">
        <f>IF(BV40=2,((1-logGiardiaR)/0.5),IF(BV40=3,((1.5-logGiardiaR)/0.5),IF(BV40=4,((2-logGiardiaR)/0.5),IF(BV40=5,((2.5-logGiardiaR)/0.5),IF(BV40=6,((3-logGiardiaR)/0.5),IF(BV41=0,(0.5-logGiardiaR)/0.5,0))))))</f>
        <v>0</v>
      </c>
      <c r="BX40" s="6"/>
      <c r="BY40" s="6"/>
      <c r="BZ40" s="6"/>
      <c r="CA40" s="6"/>
      <c r="CB40" s="6"/>
      <c r="CC40" s="586" t="s">
        <v>498</v>
      </c>
      <c r="CD40" s="586"/>
      <c r="CE40" s="586"/>
      <c r="CF40" s="224"/>
      <c r="CH40" s="28" t="s">
        <v>508</v>
      </c>
      <c r="CI40" s="217" t="str">
        <f>IF(OR(logGiardiaR="",'CT Worksheet'!B17&lt;&gt;"Chloramine"),"",IF(logGiardiaR&lt;=0.5,1,IF(logGiardiaR&lt;=1,2,IF(logGiardiaR&lt;=1.5,3,IF(logGiardiaR&lt;=2,4,IF(logGiardiaR&lt;=2.5,5,6))))))</f>
        <v/>
      </c>
      <c r="CJ40" s="190">
        <f>IF(CI40=2,((1-logGiardiaR)/0.5),IF(CI40=3,((1.5-logGiardiaR)/0.5),IF(CI40=4,((2-logGiardiaR)/0.5),IF(CI40=5,((2.5-logGiardiaR)/0.5),IF(CI40=6,((3-logGiardiaR)/0.5),IF(CI41=0,(0.5-logGiardiaR)/0.5,0))))))</f>
        <v>0</v>
      </c>
      <c r="CK40" s="6"/>
      <c r="CL40" s="6"/>
      <c r="CM40" s="6"/>
      <c r="CN40" s="6"/>
      <c r="CO40" s="6"/>
      <c r="CP40" s="586" t="s">
        <v>498</v>
      </c>
      <c r="CQ40" s="586"/>
      <c r="CR40" s="586"/>
      <c r="CS40" s="224"/>
      <c r="CU40" s="28" t="s">
        <v>69</v>
      </c>
      <c r="CV40" s="6" t="str">
        <f>IF(pH_2="","",IF(pH_2&lt;=6,1,IF(pH_2&lt;=7,2,IF(pH_2&lt;=8,3,IF(pH_2&lt;=9,4,0)))))</f>
        <v/>
      </c>
      <c r="CW40" s="190">
        <f>IF(CV40=2,((7-pH_2)/1),IF(CV40=3,((8-pH_2)/1),IF(CV40=4,((9-pH_2)/1),0)))</f>
        <v>0</v>
      </c>
      <c r="CX40" s="6"/>
      <c r="CY40" s="6"/>
      <c r="CZ40" s="6"/>
      <c r="DA40" s="565" t="s">
        <v>443</v>
      </c>
      <c r="DB40" s="565"/>
      <c r="DC40" s="565"/>
      <c r="DD40" s="565"/>
      <c r="DE40" s="6"/>
      <c r="DF40" s="6"/>
      <c r="DG40" s="6"/>
      <c r="DH40" s="6"/>
      <c r="DI40" s="6"/>
      <c r="DJ40" s="6"/>
      <c r="DK40" s="241"/>
      <c r="DL40" s="440"/>
      <c r="DM40" s="410" t="s">
        <v>660</v>
      </c>
      <c r="DN40" s="441" t="str">
        <f>IF(AND('CT Worksheet'!B17="Ozone",F6&lt;&gt;""),1,"")</f>
        <v/>
      </c>
      <c r="DO40" s="7"/>
    </row>
    <row r="41" spans="1:119" ht="13.5" thickBot="1" x14ac:dyDescent="0.25">
      <c r="A41" s="28" t="s">
        <v>73</v>
      </c>
      <c r="B41" s="6" t="str">
        <f>IF(B40="","",IF(B40&gt;=2,B40-1,1))</f>
        <v/>
      </c>
      <c r="C41" s="6"/>
      <c r="D41" s="6"/>
      <c r="E41" s="6"/>
      <c r="F41" s="22"/>
      <c r="G41" s="6"/>
      <c r="H41" s="6"/>
      <c r="I41" s="45" t="e">
        <f>CONCATENATE(VLOOKUP(B45,CL2Category,2,FALSE)," mg/l")</f>
        <v>#N/A</v>
      </c>
      <c r="J41" s="61" t="str">
        <f>IF(OR(F6="",E49=""),"",HLOOKUP(E49,CTtable,B45+1,FALSE))</f>
        <v/>
      </c>
      <c r="K41" s="42" t="str">
        <f>IF(OR(F6="",D49=""),"",HLOOKUP(D49,CTtable,B45+1,FALSE))</f>
        <v/>
      </c>
      <c r="L41" s="62" t="str">
        <f>IF(OR(F6="",E50=""),"",HLOOKUP(E50,CTtable,B45+1,FALSE))</f>
        <v/>
      </c>
      <c r="M41" s="72" t="str">
        <f>IF(OR(F6="",D50=""),"",HLOOKUP(D50,CTtable,B45+1,FALSE))</f>
        <v/>
      </c>
      <c r="N41" s="22"/>
      <c r="O41" s="63" t="str">
        <f>IF(OR(J41="",L41=""),"",L41-((L41-J41)*C40))</f>
        <v/>
      </c>
      <c r="P41" s="64" t="str">
        <f>IF(OR(M41="",M41=""),"",M41-((M41-K41)*C40))</f>
        <v/>
      </c>
      <c r="Q41" s="65" t="str">
        <f>IF(OR(P41="",O41=""),"",P41-((P41-O41)*C38))</f>
        <v/>
      </c>
      <c r="R41" s="22"/>
      <c r="S41" s="65" t="str">
        <f>IF(OR(Q46="",Q41=""),"",Q46-((Q46-Q41)*C42))</f>
        <v/>
      </c>
      <c r="T41" s="66" t="str">
        <f>IF(OR(S42="",S41=""),"",S42-((S42-S41)*C44))</f>
        <v/>
      </c>
      <c r="U41" s="7"/>
      <c r="V41" s="28"/>
      <c r="W41" s="58">
        <v>0.6</v>
      </c>
      <c r="X41" s="75" t="str">
        <f>IF(E$49="","",HLOOKUP(E$49,CTtable,3,FALSE))</f>
        <v/>
      </c>
      <c r="Y41" s="22" t="str">
        <f>IF(D49="","",HLOOKUP(D49,CTtable,3,FALSE))</f>
        <v/>
      </c>
      <c r="Z41" s="75" t="str">
        <f>IF(E50="","",HLOOKUP(E50,CTtable,3,FALSE))</f>
        <v/>
      </c>
      <c r="AA41" s="73" t="str">
        <f>IF(D50="","",HLOOKUP(D50,CTtable,3,FALSE))</f>
        <v/>
      </c>
      <c r="AB41" s="75" t="str">
        <f>IF(E51="","",HLOOKUP(E51,CTtable,3,FALSE))</f>
        <v/>
      </c>
      <c r="AC41" s="22" t="str">
        <f>IF(D51="","",HLOOKUP(D51,CTtable,3,FALSE))</f>
        <v/>
      </c>
      <c r="AD41" s="75" t="str">
        <f>IF(E52="","",HLOOKUP(E52,CTtable,3,FALSE))</f>
        <v/>
      </c>
      <c r="AE41" s="73" t="str">
        <f>IF($D$52="","",HLOOKUP($D$52,CTtable,3,FALSE))</f>
        <v/>
      </c>
      <c r="AF41" s="6"/>
      <c r="AG41" s="78" t="str">
        <f>IF(OR(X41="",Z41=""),"",Z41-((Z41-X41)*pH2fraction))</f>
        <v/>
      </c>
      <c r="AH41" s="76" t="str">
        <f>IF(OR(Y41="",AA41=""),"",AA41-((AA41-Y41)*pH2fraction))</f>
        <v/>
      </c>
      <c r="AI41" s="78" t="str">
        <f>IF(OR(AB41="",AD41=""),"",AD41-((AD41-AB41)*pH2fraction))</f>
        <v/>
      </c>
      <c r="AJ41" s="79" t="str">
        <f>IF(OR(AC41="",AE41=""),"",AE41-((AE41-AC41)*pH2fraction))</f>
        <v/>
      </c>
      <c r="AK41" s="22"/>
      <c r="AL41" s="100" t="str">
        <f t="shared" ref="AL41:AL53" si="16">IF(OR(AG41="",AI41=""),"",AI41-((AI41-AG41)*Temp2fraction))</f>
        <v/>
      </c>
      <c r="AM41" s="101" t="str">
        <f t="shared" ref="AM41:AM53" si="17">IF(OR(AH41="",AJ41=""),"",AJ41-((AJ41-AH41)*Temp2fraction))</f>
        <v/>
      </c>
      <c r="AN41" s="112" t="str">
        <f t="shared" ref="AN41:AN53" si="18">IF(OR(AL41="",AM41=""),"",AM41-((AM41-AL41)*logIfraction))</f>
        <v/>
      </c>
      <c r="AO41" s="7"/>
      <c r="AQ41" s="28" t="s">
        <v>461</v>
      </c>
      <c r="AR41" s="6" t="str">
        <f>IF(AR40="","",IF(AR40&gt;=2,AR40-1,IF(logVirusR&lt;2,0,1)))</f>
        <v/>
      </c>
      <c r="AS41" s="6"/>
      <c r="AT41" s="6"/>
      <c r="AU41" s="6"/>
      <c r="AV41" s="565" t="s">
        <v>443</v>
      </c>
      <c r="AW41" s="565"/>
      <c r="AX41" s="565"/>
      <c r="AY41" s="565"/>
      <c r="AZ41" s="6"/>
      <c r="BA41" s="6"/>
      <c r="BB41" s="6"/>
      <c r="BC41" s="6"/>
      <c r="BD41" s="6"/>
      <c r="BE41" s="6"/>
      <c r="BF41" s="7"/>
      <c r="BH41" s="28" t="s">
        <v>494</v>
      </c>
      <c r="BI41" s="218" t="str">
        <f>IF(BI40="","",IF(BI40&gt;=2,BI40-1,IF(logGiardiaR&lt;0.5,0,1)))</f>
        <v/>
      </c>
      <c r="BJ41" s="6"/>
      <c r="BK41" s="6"/>
      <c r="BL41" s="6"/>
      <c r="BM41" s="565" t="s">
        <v>495</v>
      </c>
      <c r="BN41" s="565"/>
      <c r="BO41" s="212"/>
      <c r="BP41" s="147" t="s">
        <v>497</v>
      </c>
      <c r="BQ41" s="147"/>
      <c r="BR41" s="22" t="s">
        <v>58</v>
      </c>
      <c r="BS41" s="7"/>
      <c r="BT41" s="6"/>
      <c r="BU41" s="28" t="s">
        <v>505</v>
      </c>
      <c r="BV41" s="218" t="str">
        <f>IF(BV40="","",IF(BV40&gt;=2,BV40-1,IF(logGiardiaR&lt;0.5,0,1)))</f>
        <v/>
      </c>
      <c r="BW41" s="6"/>
      <c r="BX41" s="6"/>
      <c r="BY41" s="6"/>
      <c r="BZ41" s="565" t="s">
        <v>495</v>
      </c>
      <c r="CA41" s="565"/>
      <c r="CB41" s="212"/>
      <c r="CC41" s="147" t="s">
        <v>497</v>
      </c>
      <c r="CD41" s="147"/>
      <c r="CE41" s="22" t="s">
        <v>58</v>
      </c>
      <c r="CF41" s="7"/>
      <c r="CH41" s="28" t="s">
        <v>522</v>
      </c>
      <c r="CI41" s="218" t="str">
        <f>IF(CI40="","",IF(CI40&gt;=2,CI40-1,IF(logGiardiaR&lt;0.5,0,1)))</f>
        <v/>
      </c>
      <c r="CJ41" s="6"/>
      <c r="CK41" s="6"/>
      <c r="CL41" s="6"/>
      <c r="CM41" s="565" t="s">
        <v>495</v>
      </c>
      <c r="CN41" s="565"/>
      <c r="CO41" s="212"/>
      <c r="CP41" s="147" t="s">
        <v>497</v>
      </c>
      <c r="CQ41" s="147"/>
      <c r="CR41" s="22" t="s">
        <v>58</v>
      </c>
      <c r="CS41" s="7"/>
      <c r="CU41" s="28" t="s">
        <v>74</v>
      </c>
      <c r="CV41" s="12" t="str">
        <f>IF(CV40="","",IF(CV40=0,0,IF(CV40&gt;=2,CV40-1,1)))</f>
        <v/>
      </c>
      <c r="CW41" s="12"/>
      <c r="CX41" s="6"/>
      <c r="CY41" s="6"/>
      <c r="CZ41" s="6"/>
      <c r="DA41" s="22" t="e">
        <f>CONCATENATE(HLOOKUP(CX49,MicrocystinTable,2,FALSE)," ",'CT Tables'!$B$161)</f>
        <v>#N/A</v>
      </c>
      <c r="DB41" s="67" t="e">
        <f>CONCATENATE(HLOOKUP(CW49,MicrocystinTable,2,FALSE)," ",'CT Tables'!$B$161)</f>
        <v>#N/A</v>
      </c>
      <c r="DC41" s="60" t="e">
        <f>CONCATENATE(HLOOKUP(CX50,MicrocystinTable,2,FALSE)," ",'CT Tables'!$B$161)</f>
        <v>#N/A</v>
      </c>
      <c r="DD41" s="67" t="e">
        <f>CONCATENATE(HLOOKUP(CW50,MicrocystinTable,2,FALSE)," ",'CT Tables'!$B$161)</f>
        <v>#N/A</v>
      </c>
      <c r="DE41" s="6"/>
      <c r="DF41" s="22" t="e">
        <f>DA41</f>
        <v>#N/A</v>
      </c>
      <c r="DG41" s="22" t="e">
        <f>DB41</f>
        <v>#N/A</v>
      </c>
      <c r="DH41" s="24" t="str">
        <f>CONCATENATE(MicrocystinR," ug/l")</f>
        <v xml:space="preserve"> ug/l</v>
      </c>
      <c r="DI41" s="6"/>
      <c r="DJ41" s="24" t="str">
        <f>CONCATENATE('CT Worksheet'!C16,'CT Worksheet'!D16)</f>
        <v/>
      </c>
      <c r="DK41" s="241"/>
      <c r="DL41" s="440"/>
      <c r="DM41" s="241"/>
      <c r="DN41" s="241"/>
      <c r="DO41" s="7"/>
    </row>
    <row r="42" spans="1:119" ht="13.5" thickBot="1" x14ac:dyDescent="0.25">
      <c r="A42" s="28" t="s">
        <v>72</v>
      </c>
      <c r="B42" s="6" t="str">
        <f>IF(Temp2="","",IF(Temp2&lt;=0,"",IF(Temp2&lt;=0.5,1,IF(Temp2&lt;=5,2,IF(Temp2&lt;=10,3,IF(Temp2&lt;=15,4,IF(Temp2&lt;=20,5,6)))))))</f>
        <v/>
      </c>
      <c r="C42" s="44">
        <f>IF(B43=6,0,IF(B42=2,((5-Temp2)/4.5),IF(B42=3,((10-Temp2)/5),IF(B42=4,((15-Temp2)/5),IF(B42=5,((20-Temp2)/5),IF(B42=6,((25-Temp2)/5),0))))))</f>
        <v>0</v>
      </c>
      <c r="D42" s="6"/>
      <c r="E42" s="6"/>
      <c r="F42" s="22"/>
      <c r="G42" s="6"/>
      <c r="H42" s="6"/>
      <c r="I42" s="45" t="e">
        <f>CONCATENATE(VLOOKUP(B44,CL2Category,2,FALSE)," mg/l")</f>
        <v>#N/A</v>
      </c>
      <c r="J42" s="67" t="str">
        <f>IF(OR(F6="",E49=""),"",HLOOKUP(E49,CTtable,IF(B44=15,B44,B44+1),FALSE))</f>
        <v/>
      </c>
      <c r="K42" s="59" t="str">
        <f>IF(OR(F6="",D49=""),"",HLOOKUP(D49,CTtable,IF(B44=15,B44,B44+1),FALSE))</f>
        <v/>
      </c>
      <c r="L42" s="68" t="str">
        <f>IF(OR(F6="",E50=""),"",HLOOKUP(E50,CTtable,IF(B44=15,B44,B44+1),FALSE))</f>
        <v/>
      </c>
      <c r="M42" s="74" t="str">
        <f>IF(OR(F6="",D50=""),"",HLOOKUP(D50,CTtable,IF(B44=15,B44,B44+1),FALSE))</f>
        <v/>
      </c>
      <c r="N42" s="22"/>
      <c r="O42" s="69" t="str">
        <f>IF(OR(J42="",L42=""),"",L42-((L42-J42)*C40))</f>
        <v/>
      </c>
      <c r="P42" s="70" t="str">
        <f>IF(OR(M42="",M42=""),"",M42-((M42-K42)*C40))</f>
        <v/>
      </c>
      <c r="Q42" s="71" t="str">
        <f>IF(OR(P42="",O42=""),"",P42-((P42-O42)*C38))</f>
        <v/>
      </c>
      <c r="R42" s="22"/>
      <c r="S42" s="71" t="str">
        <f>IF(OR(Q47="",Q42=""),"",Q47-((Q47-Q42)*C42))</f>
        <v/>
      </c>
      <c r="T42" s="22"/>
      <c r="U42" s="7"/>
      <c r="V42" s="28"/>
      <c r="W42" s="58">
        <v>0.8</v>
      </c>
      <c r="X42" s="75" t="str">
        <f>IF(E49="","",HLOOKUP(E49,CTtable,4,FALSE))</f>
        <v/>
      </c>
      <c r="Y42" s="22" t="str">
        <f>IF(D49="","",HLOOKUP(D49,CTtable,4,FALSE))</f>
        <v/>
      </c>
      <c r="Z42" s="75" t="str">
        <f>IF(E50="","",HLOOKUP(E50,CTtable,4,FALSE))</f>
        <v/>
      </c>
      <c r="AA42" s="73" t="str">
        <f>IF(D50="","",HLOOKUP(D50,CTtable,4,FALSE))</f>
        <v/>
      </c>
      <c r="AB42" s="75" t="str">
        <f>IF(E51="","",HLOOKUP(E51,CTtable,4,FALSE))</f>
        <v/>
      </c>
      <c r="AC42" s="22" t="str">
        <f>IF(D51="","",HLOOKUP(D51,CTtable,4,FALSE))</f>
        <v/>
      </c>
      <c r="AD42" s="75" t="str">
        <f>IF(E52="","",HLOOKUP(E52,CTtable,4,FALSE))</f>
        <v/>
      </c>
      <c r="AE42" s="73" t="str">
        <f>IF($D$52="","",HLOOKUP($D$52,CTtable,4,FALSE))</f>
        <v/>
      </c>
      <c r="AF42" s="6"/>
      <c r="AG42" s="78" t="str">
        <f>IF(OR(X42="",Z42=""),"",Z42-((Z42-X42)*pH2fraction))</f>
        <v/>
      </c>
      <c r="AH42" s="76" t="str">
        <f t="shared" ref="AH42:AH53" si="19">IF(OR(Y42="",AA42=""),"",AA42-((AA42-Y42)*pH2fraction))</f>
        <v/>
      </c>
      <c r="AI42" s="78" t="str">
        <f t="shared" ref="AI42:AI53" si="20">IF(OR(AB42="",AD42=""),"",AD42-((AD42-AB42)*pH2fraction))</f>
        <v/>
      </c>
      <c r="AJ42" s="79" t="str">
        <f t="shared" ref="AJ42:AJ53" si="21">IF(OR(AC42="",AE42=""),"",AE42-((AE42-AC42)*pH2fraction))</f>
        <v/>
      </c>
      <c r="AK42" s="22"/>
      <c r="AL42" s="100" t="str">
        <f t="shared" si="16"/>
        <v/>
      </c>
      <c r="AM42" s="101" t="str">
        <f t="shared" si="17"/>
        <v/>
      </c>
      <c r="AN42" s="112" t="str">
        <f t="shared" si="18"/>
        <v/>
      </c>
      <c r="AO42" s="7"/>
      <c r="AQ42" s="28" t="s">
        <v>513</v>
      </c>
      <c r="AR42" s="6" t="str">
        <f>IF(pH_2="","",IF(pH_2&lt;=9,1,IF(pH_2&lt;=10,2,3)))</f>
        <v/>
      </c>
      <c r="AS42" s="44">
        <f>IF(AR42=2,((10-pH_2)/1),0)</f>
        <v>0</v>
      </c>
      <c r="AT42" s="6"/>
      <c r="AU42" s="6"/>
      <c r="AV42" s="22" t="e">
        <f>HLOOKUP(AT48,VirusCTtable,2,FALSE)</f>
        <v>#N/A</v>
      </c>
      <c r="AW42" s="67" t="e">
        <f>HLOOKUP(AS48,VirusCTtable,2,FALSE)</f>
        <v>#N/A</v>
      </c>
      <c r="AX42" s="60" t="e">
        <f>HLOOKUP(AT49,VirusCTtable,2,FALSE)</f>
        <v>#N/A</v>
      </c>
      <c r="AY42" s="67" t="e">
        <f>HLOOKUP(AS49,VirusCTtable,2,FALSE)</f>
        <v>#N/A</v>
      </c>
      <c r="AZ42" s="6"/>
      <c r="BA42" s="22" t="e">
        <f>AV42</f>
        <v>#N/A</v>
      </c>
      <c r="BB42" s="22" t="e">
        <f>AW42</f>
        <v>#N/A</v>
      </c>
      <c r="BC42" s="24" t="str">
        <f>CONCATENATE('CT Worksheet'!S4,"-log")</f>
        <v>-log</v>
      </c>
      <c r="BD42" s="6"/>
      <c r="BE42" s="24" t="str">
        <f>CONCATENATE('CT Worksheet'!C16,'CT Worksheet'!D16)</f>
        <v/>
      </c>
      <c r="BF42" s="7"/>
      <c r="BH42" s="28" t="s">
        <v>491</v>
      </c>
      <c r="BI42" s="217" t="str">
        <f>IF(OR(logVirusR="",'CT Worksheet'!B17&lt;&gt;"Chlorine Dioxide"),"",IF(logVirusR&lt;=2,1,IF(logVirusR&lt;=3,2,IF(logVirusR&lt;=4,3,4))))</f>
        <v/>
      </c>
      <c r="BJ42" s="190">
        <f>IF(BI42=2,(3-logVirusR)/1,IF(BI42=3,(4-logVirusR)/1,IF(BI43=0,(2-logVirusR)/2,0)))</f>
        <v>0</v>
      </c>
      <c r="BK42" s="6"/>
      <c r="BL42" s="6"/>
      <c r="BM42" s="22" t="e">
        <f>HLOOKUP(BI41,ClOgTable,2,FALSE)</f>
        <v>#N/A</v>
      </c>
      <c r="BN42" s="22" t="e">
        <f>HLOOKUP(BI40,ClOgTable,2,FALSE)</f>
        <v>#N/A</v>
      </c>
      <c r="BO42" s="22"/>
      <c r="BP42" s="24" t="str">
        <f>CONCATENATE(logGiardiaR,"-log")</f>
        <v>-log</v>
      </c>
      <c r="BQ42" s="6"/>
      <c r="BR42" s="24" t="str">
        <f>CONCATENATE('CT Worksheet'!C16,'CT Worksheet'!D16)</f>
        <v/>
      </c>
      <c r="BS42" s="209"/>
      <c r="BU42" s="28" t="s">
        <v>506</v>
      </c>
      <c r="BV42" s="217" t="str">
        <f>IF(OR(logVirusR="",'CT Worksheet'!B17&lt;&gt;"Ozone"),"",IF(logVirusR&lt;=2,1,IF(logVirusR&lt;=3,2,IF(logVirusR&lt;=4,3,4))))</f>
        <v/>
      </c>
      <c r="BW42" s="190">
        <f>IF(BV42=2,(3-logVirusR)/1,IF(BV42=3,(4-logVirusR)/1,IF(BV43=0,(2-logVirusR)/2,0)))</f>
        <v>0</v>
      </c>
      <c r="BX42" s="6"/>
      <c r="BY42" s="6"/>
      <c r="BZ42" s="22" t="e">
        <f>HLOOKUP(BV41,O3gTable,2,FALSE)</f>
        <v>#N/A</v>
      </c>
      <c r="CA42" s="22" t="e">
        <f>HLOOKUP(BV40,O3gTable,2,FALSE)</f>
        <v>#N/A</v>
      </c>
      <c r="CB42" s="22"/>
      <c r="CC42" s="24" t="str">
        <f>CONCATENATE(logGiardiaR,"-log")</f>
        <v>-log</v>
      </c>
      <c r="CD42" s="6"/>
      <c r="CE42" s="24" t="str">
        <f>CONCATENATE('CT Worksheet'!C16,'CT Worksheet'!D16)</f>
        <v/>
      </c>
      <c r="CF42" s="209"/>
      <c r="CH42" s="28" t="s">
        <v>509</v>
      </c>
      <c r="CI42" s="217" t="str">
        <f>IF(OR(logVirusR="",'CT Worksheet'!B17&lt;&gt;"Chloramine"),"",IF(logVirusR&lt;=2,1,IF(logVirusR&lt;=3,2,IF(logVirusR&lt;=4,3,4))))</f>
        <v/>
      </c>
      <c r="CJ42" s="190">
        <f>IF(CI42=2,(3-logVirusR)/1,IF(CI42=3,(4-logVirusR)/1,IF(CI43=0,(2-logVirusR)/2,0)))</f>
        <v>0</v>
      </c>
      <c r="CK42" s="6"/>
      <c r="CL42" s="6"/>
      <c r="CM42" s="22" t="e">
        <f>HLOOKUP(CI41,ChloramineTableG,2,FALSE)</f>
        <v>#N/A</v>
      </c>
      <c r="CN42" s="22" t="e">
        <f>HLOOKUP(CI40,ChloramineTableG,2,FALSE)</f>
        <v>#N/A</v>
      </c>
      <c r="CO42" s="22"/>
      <c r="CP42" s="24" t="str">
        <f>CONCATENATE(logGiardiaR,"-log")</f>
        <v>-log</v>
      </c>
      <c r="CQ42" s="6"/>
      <c r="CR42" s="24" t="str">
        <f>CONCATENATE('CT Worksheet'!C11,'CT Worksheet'!D11)</f>
        <v/>
      </c>
      <c r="CS42" s="209"/>
      <c r="CU42" s="28" t="s">
        <v>71</v>
      </c>
      <c r="CV42" s="12" t="str">
        <f>IF(Temp2="","",IF(Temp2&lt;=0,"",IF(Temp2&lt;=10,1,IF(Temp2&lt;=15,2,IF(Temp2&lt;=20,3,4)))))</f>
        <v/>
      </c>
      <c r="CW42" s="190">
        <f>IF(CV43=4,0,IF(Temp2&gt;25,0,IF(CV42=2,((15-Temp2)/5),IF(CV42=3,((20-Temp2)/5),IF(CV42=4,((25-Temp2)/5),0)))))</f>
        <v>0</v>
      </c>
      <c r="CX42" s="6"/>
      <c r="CY42" s="6"/>
      <c r="CZ42" s="45" t="e">
        <f>CONCATENATE(VLOOKUP(CV43,MicrocystinTable,2,FALSE)," C")</f>
        <v>#N/A</v>
      </c>
      <c r="DA42" s="145" t="str">
        <f>IF(OR(F6="",CX49=""),"",HLOOKUP(CX49,MicrocystinTable,CV43+2,FALSE))</f>
        <v/>
      </c>
      <c r="DB42" s="61" t="str">
        <f>IF(OR(F6="",CW49=""),"",HLOOKUP(CW49,MicrocystinTable,CV43+2,FALSE))</f>
        <v/>
      </c>
      <c r="DC42" s="62" t="str">
        <f>IF(OR(F6="",CX50=""),"",HLOOKUP(CX50,MicrocystinTable,CV43+2,FALSE))</f>
        <v/>
      </c>
      <c r="DD42" s="434" t="str">
        <f>IF(OR(F6="",CW50=""),"",HLOOKUP(CW50,MicrocystinTable,CV43+2,FALSE))</f>
        <v/>
      </c>
      <c r="DE42" s="6"/>
      <c r="DF42" s="219" t="str">
        <f>IF(OR(DA42="",DC42=""),"",DC42-((DC42-DA42)*CW40))</f>
        <v/>
      </c>
      <c r="DG42" s="176" t="str">
        <f>IF(OR(DD42="",DD42=""),"",DD42-((DD42-DB42)*CW40))</f>
        <v/>
      </c>
      <c r="DH42" s="177" t="str">
        <f>IF(OR(DG42="",DF42=""),"",DG42-((DG42-DF42)*CW38))</f>
        <v/>
      </c>
      <c r="DI42" s="22"/>
      <c r="DJ42" s="182" t="str">
        <f>IF(OR(DH42="",DH43=""),"",DH43-((DH43-DH42)*CW42))</f>
        <v/>
      </c>
      <c r="DK42" s="241"/>
      <c r="DL42" s="440"/>
      <c r="DM42" s="241"/>
      <c r="DN42" s="241"/>
      <c r="DO42" s="7"/>
    </row>
    <row r="43" spans="1:119" ht="13.5" thickBot="1" x14ac:dyDescent="0.25">
      <c r="A43" s="28" t="s">
        <v>75</v>
      </c>
      <c r="B43" s="6" t="str">
        <f>IF(B42="","",IF(Temp2&gt;=25,6,IF(B42&gt;=2,B42-1,1)))</f>
        <v/>
      </c>
      <c r="C43" s="6"/>
      <c r="D43" s="6"/>
      <c r="E43" s="6"/>
      <c r="F43" s="22"/>
      <c r="G43" s="6"/>
      <c r="H43" s="40"/>
      <c r="I43" s="6"/>
      <c r="J43" s="566" t="e">
        <f>CONCATENATE("pH ",HLOOKUP(D49,CTtable,17,FALSE),", ",HLOOKUP(D49,CTtable,18,FALSE),"C")</f>
        <v>#N/A</v>
      </c>
      <c r="K43" s="567"/>
      <c r="L43" s="568" t="e">
        <f>CONCATENATE("pH ",HLOOKUP(D50,CTtable,17,FALSE),", ",HLOOKUP(D50,CTtable,18,FALSE),"C")</f>
        <v>#N/A</v>
      </c>
      <c r="M43" s="566"/>
      <c r="N43" s="22"/>
      <c r="O43" s="613" t="e">
        <f>CONCATENATE("pH ",'CT Worksheet'!C18,", ",HLOOKUP(D49,CTtable,18,FALSE),"C")</f>
        <v>#N/A</v>
      </c>
      <c r="P43" s="613"/>
      <c r="Q43" s="613"/>
      <c r="R43" s="22"/>
      <c r="S43" s="22"/>
      <c r="T43" s="22"/>
      <c r="U43" s="7"/>
      <c r="V43" s="28"/>
      <c r="W43" s="58">
        <v>1</v>
      </c>
      <c r="X43" s="75" t="str">
        <f>IF(E49="","",HLOOKUP(E49,CTtable,5,FALSE))</f>
        <v/>
      </c>
      <c r="Y43" s="22" t="str">
        <f>IF(D49="","",HLOOKUP(D49,CTtable,5,FALSE))</f>
        <v/>
      </c>
      <c r="Z43" s="75" t="str">
        <f>IF(E50="","",HLOOKUP(E50,CTtable,5,FALSE))</f>
        <v/>
      </c>
      <c r="AA43" s="73" t="str">
        <f>IF(D50="","",HLOOKUP(D50,CTtable,5,FALSE))</f>
        <v/>
      </c>
      <c r="AB43" s="75" t="str">
        <f>IF(E51="","",HLOOKUP(E51,CTtable,5,FALSE))</f>
        <v/>
      </c>
      <c r="AC43" s="22" t="str">
        <f>IF(D51="","",HLOOKUP(D51,CTtable,5,FALSE))</f>
        <v/>
      </c>
      <c r="AD43" s="75" t="str">
        <f>IF(E52="","",HLOOKUP(E52,CTtable,5,FALSE))</f>
        <v/>
      </c>
      <c r="AE43" s="73" t="str">
        <f>IF($D$52="","",HLOOKUP($D$52,CTtable,5,FALSE))</f>
        <v/>
      </c>
      <c r="AF43" s="6"/>
      <c r="AG43" s="78" t="str">
        <f>IF(OR(X43="",Z43=""),"",Z43-((Z43-X43)*pH2fraction))</f>
        <v/>
      </c>
      <c r="AH43" s="76" t="str">
        <f t="shared" si="19"/>
        <v/>
      </c>
      <c r="AI43" s="78" t="str">
        <f t="shared" si="20"/>
        <v/>
      </c>
      <c r="AJ43" s="79" t="str">
        <f t="shared" si="21"/>
        <v/>
      </c>
      <c r="AK43" s="22"/>
      <c r="AL43" s="100" t="str">
        <f t="shared" si="16"/>
        <v/>
      </c>
      <c r="AM43" s="101" t="str">
        <f t="shared" si="17"/>
        <v/>
      </c>
      <c r="AN43" s="112" t="str">
        <f t="shared" si="18"/>
        <v/>
      </c>
      <c r="AO43" s="7"/>
      <c r="AQ43" s="28" t="s">
        <v>514</v>
      </c>
      <c r="AR43" s="6" t="str">
        <f>IF(AR42="","",IF(AR42&gt;=2,AR42-1,1))</f>
        <v/>
      </c>
      <c r="AS43" s="6"/>
      <c r="AT43" s="6"/>
      <c r="AU43" s="45" t="e">
        <f>CONCATENATE(VLOOKUP(AR45,VirusCTtable,2,FALSE)," C")</f>
        <v>#N/A</v>
      </c>
      <c r="AV43" s="145" t="str">
        <f>IF(OR(F6="",AT48=""),"",HLOOKUP(AT48,VirusCTtable,AR45+2,FALSE))</f>
        <v/>
      </c>
      <c r="AW43" s="61" t="str">
        <f>IF(OR(F6="",AS48=""),"",HLOOKUP(AS48,VirusCTtable,AR45+2,FALSE))</f>
        <v/>
      </c>
      <c r="AX43" s="62" t="str">
        <f>IF(OR(F6="",AT49=""),"",HLOOKUP(AT49,VirusCTtable,AR45+2,FALSE))</f>
        <v/>
      </c>
      <c r="AY43" s="172" t="str">
        <f>IF(OR(F6="",AS49=""),"",HLOOKUP(AS49,VirusCTtable,AR45+2,FALSE))</f>
        <v/>
      </c>
      <c r="AZ43" s="6"/>
      <c r="BA43" s="175" t="str">
        <f>IF(OR(AV43="",AX43=""),"",AX43-((AX43-AV43)*AS42))</f>
        <v/>
      </c>
      <c r="BB43" s="176" t="str">
        <f>IF(OR(AY43="",AY43=""),"",AY43-((AY43-AW43)*AS42))</f>
        <v/>
      </c>
      <c r="BC43" s="177" t="str">
        <f>IF(OR(BB43="",BA43=""),"",BB43-((BB43-BA43)*AS40))</f>
        <v/>
      </c>
      <c r="BD43" s="22"/>
      <c r="BE43" s="182" t="str">
        <f>IF(OR(BC43="",BC44=""),"",BC44-((BC44-BC43)*AS44))</f>
        <v/>
      </c>
      <c r="BF43" s="7"/>
      <c r="BH43" s="28" t="s">
        <v>492</v>
      </c>
      <c r="BI43" s="217" t="str">
        <f>IF(BI42="","",IF(BI42&gt;=2,BI42-1,IF(logVirusR&lt;2,0,1)))</f>
        <v/>
      </c>
      <c r="BJ43" s="6"/>
      <c r="BK43" s="6"/>
      <c r="BL43" s="45" t="e">
        <f>CONCATENATE(VLOOKUP(BI46,ClOgTable,2,FALSE)," C")</f>
        <v>#N/A</v>
      </c>
      <c r="BM43" s="145" t="str">
        <f>IF(OR(F6="",BI41=""),"",HLOOKUP(BI41,ClOgTable,BI46+2,FALSE))</f>
        <v/>
      </c>
      <c r="BN43" s="145" t="str">
        <f>IF(OR(F6="",BI40=""),"",HLOOKUP(BI40,ClOgTable,BI46+2,FALSE))</f>
        <v/>
      </c>
      <c r="BO43" s="22"/>
      <c r="BP43" s="219" t="str">
        <f>IF(OR(BN43="",BM43=""),"",BN43-((BN43-BM43)*BJ40))</f>
        <v/>
      </c>
      <c r="BQ43" s="6"/>
      <c r="BR43" s="182" t="str">
        <f>IF(OR(BP43="",BP44=""),"",BP44-((BP44-BP43)*BJ45))</f>
        <v/>
      </c>
      <c r="BS43" s="222"/>
      <c r="BU43" s="28" t="s">
        <v>507</v>
      </c>
      <c r="BV43" s="217" t="str">
        <f>IF(BV42="","",IF(BV42&gt;=2,BV42-1,IF(logVirusR&lt;2,0,1)))</f>
        <v/>
      </c>
      <c r="BW43" s="6"/>
      <c r="BX43" s="6"/>
      <c r="BY43" s="45" t="e">
        <f>CONCATENATE(VLOOKUP(BV46,O3gTable,2,FALSE)," C")</f>
        <v>#N/A</v>
      </c>
      <c r="BZ43" s="145" t="str">
        <f>IF(OR(F6="",BV41=""),"",HLOOKUP(BV41,O3gTable,BV46+2,FALSE))</f>
        <v/>
      </c>
      <c r="CA43" s="145" t="str">
        <f>IF(OR(F6="",BV40=""),"",HLOOKUP(BV40,O3gTable,BV46+2,FALSE))</f>
        <v/>
      </c>
      <c r="CB43" s="22"/>
      <c r="CC43" s="219" t="str">
        <f>IF(OR(CA43="",BZ43=""),"",CA43-((CA43-BZ43)*BW40))</f>
        <v/>
      </c>
      <c r="CD43" s="6"/>
      <c r="CE43" s="182" t="str">
        <f>IF(OR(CC43="",CC44=""),"",CC44-((CC44-CC43)*BW45))</f>
        <v/>
      </c>
      <c r="CF43" s="222"/>
      <c r="CH43" s="28" t="s">
        <v>510</v>
      </c>
      <c r="CI43" s="217" t="str">
        <f>IF(CI42="","",IF(CI42&gt;=2,CI42-1,IF(logVirusR&lt;2,0,1)))</f>
        <v/>
      </c>
      <c r="CJ43" s="6"/>
      <c r="CK43" s="6"/>
      <c r="CL43" s="45" t="e">
        <f>CONCATENATE(VLOOKUP(CI46,ChloramineTableG,2,FALSE)," C")</f>
        <v>#N/A</v>
      </c>
      <c r="CM43" s="145" t="str">
        <f>IF(OR(F6="",CI41="",'CT Worksheet'!C18&gt;9),"",HLOOKUP(CI41,ChloramineTableG,CI46+2,FALSE))</f>
        <v/>
      </c>
      <c r="CN43" s="145" t="str">
        <f>IF(OR(F6="",CI40="",'CT Worksheet'!C18&gt;9),"",HLOOKUP(CI40,ChloramineTableG,CI46+2,FALSE))</f>
        <v/>
      </c>
      <c r="CO43" s="22"/>
      <c r="CP43" s="219" t="str">
        <f>IF(OR(CN43="",CM43=""),"",CN43-((CN43-CM43)*CJ40))</f>
        <v/>
      </c>
      <c r="CQ43" s="6"/>
      <c r="CR43" s="182" t="str">
        <f>IF(OR(CP43="",CP44=""),"",CP44-((CP44-CP43)*CJ45))</f>
        <v/>
      </c>
      <c r="CS43" s="222"/>
      <c r="CU43" s="28" t="s">
        <v>85</v>
      </c>
      <c r="CV43" s="12" t="str">
        <f>IF(CV42="","",IF(Temp2&gt;=25,4,IF(CV42&gt;=2,CV42-1,1)))</f>
        <v/>
      </c>
      <c r="CW43" s="12"/>
      <c r="CX43" s="6"/>
      <c r="CY43" s="6"/>
      <c r="CZ43" s="45" t="e">
        <f>CONCATENATE(VLOOKUP(CV42,MicrocystinTable,2,FALSE)," C")</f>
        <v>#N/A</v>
      </c>
      <c r="DA43" s="61" t="str">
        <f>IF(OR(F6="",CX49=""),"",HLOOKUP(CX49,MicrocystinTable,CV42+2,FALSE))</f>
        <v/>
      </c>
      <c r="DB43" s="61" t="str">
        <f>IF(OR(F6="",CW49=""),"",HLOOKUP(CW49,MicrocystinTable,CV42+2,FALSE))</f>
        <v/>
      </c>
      <c r="DC43" s="173" t="str">
        <f>IF(OR(F6="",CX50=""),"",HLOOKUP(CX50,MicrocystinTable,CV42+2,FALSE))</f>
        <v/>
      </c>
      <c r="DD43" s="145" t="str">
        <f>IF(OR(F6="",CW50=""),"",HLOOKUP(CW50,MicrocystinTable,CV42+2,FALSE))</f>
        <v/>
      </c>
      <c r="DE43" s="6"/>
      <c r="DF43" s="220" t="str">
        <f>IF(OR(DA43="",DC43=""),"",DC43-((DC43-DA43)*CW40))</f>
        <v/>
      </c>
      <c r="DG43" s="179" t="str">
        <f>IF(OR(DD43="",DD43=""),"",DD43-((DD43-DB43)*CW40))</f>
        <v/>
      </c>
      <c r="DH43" s="180" t="str">
        <f>IF(OR(DG43="",DF43=""),"",DG43-((DG43-DF43)*CW38))</f>
        <v/>
      </c>
      <c r="DI43" s="22"/>
      <c r="DJ43" s="181"/>
      <c r="DK43" s="241"/>
      <c r="DL43" s="440"/>
      <c r="DM43" s="241"/>
      <c r="DN43" s="241"/>
      <c r="DO43" s="7"/>
    </row>
    <row r="44" spans="1:119" ht="13.5" thickBot="1" x14ac:dyDescent="0.25">
      <c r="A44" s="28" t="s">
        <v>76</v>
      </c>
      <c r="B44" s="6" t="str">
        <f>IF(B46&lt;&gt;"",B46,IF(B47=15,14,B47))</f>
        <v/>
      </c>
      <c r="C44" s="44" t="str">
        <f>IF(C46="",C47,C46)</f>
        <v/>
      </c>
      <c r="D44" s="6"/>
      <c r="E44" s="6"/>
      <c r="F44" s="22"/>
      <c r="G44" s="6"/>
      <c r="H44" s="40"/>
      <c r="I44" s="6"/>
      <c r="J44" s="22"/>
      <c r="K44" s="22"/>
      <c r="L44" s="22"/>
      <c r="M44" s="22"/>
      <c r="N44" s="22"/>
      <c r="O44" s="22"/>
      <c r="P44" s="22"/>
      <c r="Q44" s="22"/>
      <c r="R44" s="22"/>
      <c r="S44" s="22"/>
      <c r="T44" s="22"/>
      <c r="U44" s="7"/>
      <c r="V44" s="28"/>
      <c r="W44" s="58">
        <v>1.2</v>
      </c>
      <c r="X44" s="75" t="str">
        <f>IF(E49="","",HLOOKUP(E49,CTtable,6,FALSE))</f>
        <v/>
      </c>
      <c r="Y44" s="22" t="str">
        <f>IF(D49="","",HLOOKUP(D49,CTtable,6,FALSE))</f>
        <v/>
      </c>
      <c r="Z44" s="75" t="str">
        <f>IF(E50="","",HLOOKUP(E50,CTtable,6,FALSE))</f>
        <v/>
      </c>
      <c r="AA44" s="73" t="str">
        <f>IF(D50="","",HLOOKUP(D50,CTtable,6,FALSE))</f>
        <v/>
      </c>
      <c r="AB44" s="75" t="str">
        <f>IF(E51="","",HLOOKUP(E51,CTtable,6,FALSE))</f>
        <v/>
      </c>
      <c r="AC44" s="22" t="str">
        <f>IF(D51="","",HLOOKUP(D51,CTtable,6,FALSE))</f>
        <v/>
      </c>
      <c r="AD44" s="75" t="str">
        <f>IF(E52="","",HLOOKUP(E52,CTtable,6,FALSE))</f>
        <v/>
      </c>
      <c r="AE44" s="73" t="str">
        <f>IF($D$52="","",HLOOKUP($D$52,CTtable,6,FALSE))</f>
        <v/>
      </c>
      <c r="AF44" s="6"/>
      <c r="AG44" s="78" t="str">
        <f t="shared" ref="AG44:AG53" si="22">IF(OR(X44="",Z44=""),"",Z44-((Z44-X44)*pH2fraction))</f>
        <v/>
      </c>
      <c r="AH44" s="76" t="str">
        <f t="shared" si="19"/>
        <v/>
      </c>
      <c r="AI44" s="78" t="str">
        <f t="shared" si="20"/>
        <v/>
      </c>
      <c r="AJ44" s="79" t="str">
        <f t="shared" si="21"/>
        <v/>
      </c>
      <c r="AK44" s="22"/>
      <c r="AL44" s="100" t="str">
        <f t="shared" si="16"/>
        <v/>
      </c>
      <c r="AM44" s="101" t="str">
        <f t="shared" si="17"/>
        <v/>
      </c>
      <c r="AN44" s="112" t="str">
        <f t="shared" si="18"/>
        <v/>
      </c>
      <c r="AO44" s="7"/>
      <c r="AQ44" s="28" t="s">
        <v>72</v>
      </c>
      <c r="AR44" s="12" t="str">
        <f>IF(Temp2="","",IF(Temp2&lt;=0,"",IF(Temp2&lt;=1,1,IF(Temp2&lt;=5,2,IF(Temp2&lt;=10,3,IF(Temp2&lt;=15,4,IF(Temp2&lt;=20,5,6)))))))</f>
        <v/>
      </c>
      <c r="AS44" s="190">
        <f>IF(AR45=6,0,IF(AR44=2,((5-Temp2)/4),IF(AR44=3,((10-Temp2)/5),IF(AR44=4,((15-Temp2)/5),IF(AR44=5,((20-Temp2)/5),IF(AR44=6,((25-Temp2)/5),0))))))</f>
        <v>0</v>
      </c>
      <c r="AT44" s="6"/>
      <c r="AU44" s="45" t="e">
        <f>CONCATENATE(VLOOKUP(AR44,VirusCTtable,2,FALSE)," C")</f>
        <v>#N/A</v>
      </c>
      <c r="AV44" s="61" t="str">
        <f>IF(OR(F6="",AT48=""),"",HLOOKUP(AT48,VirusCTtable,AR44+2,FALSE))</f>
        <v/>
      </c>
      <c r="AW44" s="61" t="str">
        <f>IF(OR(F6="",AS48=""),"",HLOOKUP(AS48,VirusCTtable,AR44+2,FALSE))</f>
        <v/>
      </c>
      <c r="AX44" s="173" t="str">
        <f>IF(OR(F6="",AT49=""),"",HLOOKUP(AT49,VirusCTtable,AR44+2,FALSE))</f>
        <v/>
      </c>
      <c r="AY44" s="174" t="str">
        <f>IF(OR(F6="",AS49=""),"",HLOOKUP(AS49,VirusCTtable,AR44+2,FALSE))</f>
        <v/>
      </c>
      <c r="AZ44" s="6"/>
      <c r="BA44" s="178" t="str">
        <f>IF(OR(AV44="",AX44=""),"",AX44-((AX44-AV44)*AS42))</f>
        <v/>
      </c>
      <c r="BB44" s="179" t="str">
        <f>IF(OR(AY44="",AY44=""),"",AY44-((AY44-AW44)*AS42))</f>
        <v/>
      </c>
      <c r="BC44" s="180" t="str">
        <f>IF(OR(BB44="",BA44=""),"",BB44-((BB44-BA44)*AS40))</f>
        <v/>
      </c>
      <c r="BD44" s="22"/>
      <c r="BE44" s="181"/>
      <c r="BF44" s="7"/>
      <c r="BH44" s="28"/>
      <c r="BI44" s="12"/>
      <c r="BJ44" s="190"/>
      <c r="BK44" s="6"/>
      <c r="BL44" s="45" t="e">
        <f>CONCATENATE(VLOOKUP(BI45,ClOgTable,2,FALSE)," C")</f>
        <v>#N/A</v>
      </c>
      <c r="BM44" s="145" t="str">
        <f>IF(OR(F6="",BI41=""),"",HLOOKUP(BI41,ClOgTable,BI45+2,FALSE))</f>
        <v/>
      </c>
      <c r="BN44" s="145" t="str">
        <f>IF(OR(F6="",BI40=""),"",HLOOKUP(BI40,ClOgTable,BI45+2,FALSE))</f>
        <v/>
      </c>
      <c r="BO44" s="22"/>
      <c r="BP44" s="220" t="str">
        <f>IF(OR(BN44="",BM44=""),"",BN44-((BN44-BM44)*BJ40))</f>
        <v/>
      </c>
      <c r="BQ44" s="6"/>
      <c r="BR44" s="181"/>
      <c r="BS44" s="222"/>
      <c r="BU44" s="28"/>
      <c r="BV44" s="12"/>
      <c r="BW44" s="190"/>
      <c r="BX44" s="6"/>
      <c r="BY44" s="45" t="e">
        <f>CONCATENATE(VLOOKUP(BV45,O3gTable,2,FALSE)," C")</f>
        <v>#N/A</v>
      </c>
      <c r="BZ44" s="145" t="str">
        <f>IF(OR(F6="",BV41=""),"",HLOOKUP(BV41,O3gTable,BV45+2,FALSE))</f>
        <v/>
      </c>
      <c r="CA44" s="145" t="str">
        <f>IF(OR(F6="",BV40=""),"",HLOOKUP(BV40,O3gTable,BV45+2,FALSE))</f>
        <v/>
      </c>
      <c r="CB44" s="22"/>
      <c r="CC44" s="220" t="str">
        <f>IF(OR(CA44="",BZ44=""),"",CA44-((CA44-BZ44)*BW40))</f>
        <v/>
      </c>
      <c r="CD44" s="6"/>
      <c r="CE44" s="181"/>
      <c r="CF44" s="222"/>
      <c r="CH44" s="28"/>
      <c r="CI44" s="12"/>
      <c r="CJ44" s="190"/>
      <c r="CK44" s="6"/>
      <c r="CL44" s="45" t="e">
        <f>CONCATENATE(VLOOKUP(CI45,ChloramineTableG,2,FALSE)," C")</f>
        <v>#N/A</v>
      </c>
      <c r="CM44" s="145" t="str">
        <f>IF(OR(F6="",CI41="",'CT Worksheet'!C18&gt;9),"",HLOOKUP(CI41,ChloramineTableG,CI45+2,FALSE))</f>
        <v/>
      </c>
      <c r="CN44" s="145" t="str">
        <f>IF(OR(F6="",CI40="",'CT Worksheet'!C18&gt;9),"",HLOOKUP(CI40,ChloramineTableG,CI45+2,FALSE))</f>
        <v/>
      </c>
      <c r="CO44" s="22"/>
      <c r="CP44" s="220" t="str">
        <f>IF(OR(CN44="",CM44=""),"",CN44-((CN44-CM44)*CJ40))</f>
        <v/>
      </c>
      <c r="CQ44" s="6"/>
      <c r="CR44" s="181"/>
      <c r="CS44" s="222"/>
      <c r="CU44" s="235"/>
      <c r="CV44" s="12"/>
      <c r="CW44" s="190"/>
      <c r="CX44" s="6"/>
      <c r="CY44" s="6"/>
      <c r="CZ44" s="6"/>
      <c r="DA44" s="566" t="str">
        <f>IF(CV41="","",IF(CV41=1,CONCATENATE("pH ",6),IF(CV41=2,CONCATENATE("pH ",7),IF(CV41=3,CONCATENATE("pH ",8),CONCATENATE("pH ",9)))))</f>
        <v/>
      </c>
      <c r="DB44" s="567"/>
      <c r="DC44" s="568" t="str">
        <f>IF(CV40="","",IF(CV40=1,CONCATENATE("pH ",6),IF(CV40=2,CONCATENATE("pH ",7),IF(CV40=3,CONCATENATE("pH ",8),CONCATENATE("pH ",9)))))</f>
        <v/>
      </c>
      <c r="DD44" s="566"/>
      <c r="DE44" s="6"/>
      <c r="DF44" s="569" t="str">
        <f>CONCATENATE("pH ",'CT Worksheet'!C18)</f>
        <v xml:space="preserve">pH </v>
      </c>
      <c r="DG44" s="569"/>
      <c r="DH44" s="569"/>
      <c r="DI44" s="6"/>
      <c r="DJ44" s="6"/>
      <c r="DK44" s="241"/>
      <c r="DL44" s="440"/>
      <c r="DM44" s="241"/>
      <c r="DN44" s="241"/>
      <c r="DO44" s="7"/>
    </row>
    <row r="45" spans="1:119" ht="13.5" thickBot="1" x14ac:dyDescent="0.25">
      <c r="A45" s="28" t="s">
        <v>61</v>
      </c>
      <c r="B45" s="6" t="str">
        <f>IF(B44="","",IF(B47=15,14,IF(B44&gt;=2,B44-1,1)))</f>
        <v/>
      </c>
      <c r="C45" s="6"/>
      <c r="D45" s="6"/>
      <c r="E45" s="6"/>
      <c r="F45" s="22"/>
      <c r="G45" s="6"/>
      <c r="H45" s="6"/>
      <c r="I45" s="6"/>
      <c r="J45" s="608" t="str">
        <f>CONCATENATE("CT Table ",F51)</f>
        <v xml:space="preserve">CT Table </v>
      </c>
      <c r="K45" s="609"/>
      <c r="L45" s="614" t="str">
        <f>CONCATENATE("CT Table ",F52)</f>
        <v xml:space="preserve">CT Table </v>
      </c>
      <c r="M45" s="615"/>
      <c r="N45" s="22"/>
      <c r="O45" s="22"/>
      <c r="P45" s="22"/>
      <c r="Q45" s="22"/>
      <c r="R45" s="22"/>
      <c r="S45" s="22"/>
      <c r="T45" s="22"/>
      <c r="U45" s="7"/>
      <c r="V45" s="28"/>
      <c r="W45" s="58">
        <v>1.4</v>
      </c>
      <c r="X45" s="75" t="str">
        <f>IF(E49="","",HLOOKUP(E49,CTtable,7,FALSE))</f>
        <v/>
      </c>
      <c r="Y45" s="22" t="str">
        <f>IF(D49="","",HLOOKUP(D49,CTtable,7,FALSE))</f>
        <v/>
      </c>
      <c r="Z45" s="75" t="str">
        <f>IF(E50="","",HLOOKUP(E50,CTtable,7,FALSE))</f>
        <v/>
      </c>
      <c r="AA45" s="73" t="str">
        <f>IF(D50="","",HLOOKUP(D50,CTtable,7,FALSE))</f>
        <v/>
      </c>
      <c r="AB45" s="75" t="str">
        <f>IF(E51="","",HLOOKUP(E51,CTtable,7,FALSE))</f>
        <v/>
      </c>
      <c r="AC45" s="22" t="str">
        <f>IF(D51="","",HLOOKUP(D51,CTtable,7,FALSE))</f>
        <v/>
      </c>
      <c r="AD45" s="75" t="str">
        <f>IF(E52="","",HLOOKUP(E52,CTtable,7,FALSE))</f>
        <v/>
      </c>
      <c r="AE45" s="73" t="str">
        <f>IF($D$52="","",HLOOKUP($D$52,CTtable,7,FALSE))</f>
        <v/>
      </c>
      <c r="AF45" s="6"/>
      <c r="AG45" s="78" t="str">
        <f t="shared" si="22"/>
        <v/>
      </c>
      <c r="AH45" s="76" t="str">
        <f t="shared" si="19"/>
        <v/>
      </c>
      <c r="AI45" s="78" t="str">
        <f t="shared" si="20"/>
        <v/>
      </c>
      <c r="AJ45" s="79" t="str">
        <f t="shared" si="21"/>
        <v/>
      </c>
      <c r="AK45" s="22"/>
      <c r="AL45" s="100" t="str">
        <f t="shared" si="16"/>
        <v/>
      </c>
      <c r="AM45" s="101" t="str">
        <f t="shared" si="17"/>
        <v/>
      </c>
      <c r="AN45" s="112" t="str">
        <f t="shared" si="18"/>
        <v/>
      </c>
      <c r="AO45" s="7"/>
      <c r="AQ45" s="28" t="s">
        <v>75</v>
      </c>
      <c r="AR45" s="12" t="str">
        <f>IF(AR44="","",IF(Temp2&gt;=25,6,IF(AR44&gt;=2,AR44-1,1)))</f>
        <v/>
      </c>
      <c r="AS45" s="12"/>
      <c r="AT45" s="6"/>
      <c r="AU45" s="6"/>
      <c r="AV45" s="566" t="str">
        <f>IF(AR43=1,"pH 6-9",IF(AR43=2,"pH 10",""))</f>
        <v/>
      </c>
      <c r="AW45" s="567"/>
      <c r="AX45" s="568" t="str">
        <f>IF(AR42=1,"pH 6-9",IF(AR42=2,"pH 10",""))</f>
        <v/>
      </c>
      <c r="AY45" s="566"/>
      <c r="AZ45" s="6"/>
      <c r="BA45" s="569" t="str">
        <f>CONCATENATE("pH ",'CT Worksheet'!C18)</f>
        <v xml:space="preserve">pH </v>
      </c>
      <c r="BB45" s="569"/>
      <c r="BC45" s="569"/>
      <c r="BD45" s="6"/>
      <c r="BE45" s="6"/>
      <c r="BF45" s="7"/>
      <c r="BH45" s="28" t="s">
        <v>72</v>
      </c>
      <c r="BI45" s="12" t="str">
        <f>IF(Temp2="","",IF(Temp2&lt;=0,"",IF(Temp2&lt;=1,1,IF(Temp2&lt;=5,2,IF(Temp2&lt;=10,3,IF(Temp2&lt;=15,4,IF(Temp2&lt;=20,5,6)))))))</f>
        <v/>
      </c>
      <c r="BJ45" s="190">
        <f>IF(BI46=6,0,IF(BI45=2,((5-Temp2)/4),IF(BI45=3,((10-Temp2)/5),IF(BI45=4,((15-Temp2)/5),IF(BI45=5,((20-Temp2)/5),IF(BI45=6,((25-Temp2)/5),0))))))</f>
        <v>0</v>
      </c>
      <c r="BK45" s="6"/>
      <c r="BL45" s="6"/>
      <c r="BM45" s="221"/>
      <c r="BN45" s="221"/>
      <c r="BO45" s="212" t="str">
        <f>IF(BI44=1,"pH 6-9",IF(BI44=2,"pH 10",""))</f>
        <v/>
      </c>
      <c r="BP45" s="212"/>
      <c r="BQ45" s="6"/>
      <c r="BR45" s="41"/>
      <c r="BS45" s="223"/>
      <c r="BT45" s="41"/>
      <c r="BU45" s="28" t="s">
        <v>72</v>
      </c>
      <c r="BV45" s="12" t="str">
        <f>IF(Temp2="","",IF(Temp2&lt;=0,"",IF(Temp2&lt;=1,1,IF(Temp2&lt;=5,2,IF(Temp2&lt;=10,3,IF(Temp2&lt;=15,4,IF(Temp2&lt;=20,5,6)))))))</f>
        <v/>
      </c>
      <c r="BW45" s="190">
        <f>IF(BV46=6,0,IF(BV45=2,((5-Temp2)/4),IF(BV45=3,((10-Temp2)/5),IF(BV45=4,((15-Temp2)/5),IF(BV45=5,((20-Temp2)/5),IF(BV45=6,((25-Temp2)/5),0))))))</f>
        <v>0</v>
      </c>
      <c r="BX45" s="6"/>
      <c r="BY45" s="6"/>
      <c r="BZ45" s="221"/>
      <c r="CA45" s="221"/>
      <c r="CB45" s="212" t="str">
        <f>IF(BV44=1,"pH 6-9",IF(BV44=2,"pH 10",""))</f>
        <v/>
      </c>
      <c r="CC45" s="212"/>
      <c r="CD45" s="6"/>
      <c r="CE45" s="41"/>
      <c r="CF45" s="223"/>
      <c r="CH45" s="28" t="s">
        <v>72</v>
      </c>
      <c r="CI45" s="12" t="str">
        <f>IF(Temp2="","",IF(Temp2&lt;=0,"",IF(Temp2&lt;=1,1,IF(Temp2&lt;=5,2,IF(Temp2&lt;=10,3,IF(Temp2&lt;=15,4,IF(Temp2&lt;=20,5,6)))))))</f>
        <v/>
      </c>
      <c r="CJ45" s="190">
        <f>IF(CI46=6,0,IF(CI45=2,((5-Temp2)/4),IF(CI45=3,((10-Temp2)/5),IF(CI45=4,((15-Temp2)/5),IF(CI45=5,((20-Temp2)/5),IF(CI45=6,((25-Temp2)/5),0))))))</f>
        <v>0</v>
      </c>
      <c r="CK45" s="6"/>
      <c r="CL45" s="6"/>
      <c r="CM45" s="221"/>
      <c r="CN45" s="221"/>
      <c r="CO45" s="212" t="str">
        <f>IF(CI44=1,"pH 6-9",IF(CI44=2,"pH 10",""))</f>
        <v/>
      </c>
      <c r="CP45" s="212"/>
      <c r="CQ45" s="6"/>
      <c r="CR45" s="41"/>
      <c r="CS45" s="223"/>
      <c r="CU45" s="235"/>
      <c r="CV45" s="12"/>
      <c r="CW45" s="12"/>
      <c r="CX45" s="6"/>
      <c r="CY45" s="6"/>
      <c r="DA45" s="391"/>
      <c r="DB45" s="391"/>
      <c r="DC45" s="391"/>
      <c r="DD45" s="391"/>
      <c r="DK45" s="241"/>
      <c r="DL45" s="440"/>
      <c r="DM45" s="241"/>
      <c r="DN45" s="241"/>
      <c r="DO45" s="7"/>
    </row>
    <row r="46" spans="1:119" x14ac:dyDescent="0.2">
      <c r="A46" s="28" t="s">
        <v>78</v>
      </c>
      <c r="B46" s="6" t="str">
        <f>IF(DR_2="","",IF(DR_2&lt;=0.4,1,IF(DR_2&lt;=0.6,2,IF(DR_2&lt;=0.8,3,IF(DR_2&lt;=1,4,IF(DR_2&lt;=1.2,5,IF(DR_2&lt;=1.4,6,IF(DR_2&lt;=1.6,7,""))))))))</f>
        <v/>
      </c>
      <c r="C46" s="44" t="str">
        <f>IF(B46=1,0,IF(B46=2,((0.6-'CT Worksheet'!C17)/0.2),IF(B46=3,((0.8-'CT Worksheet'!C17)/0.2),IF(B46=4,((1-'CT Worksheet'!C17)/0.2),IF(B46=5,((1.2-'CT Worksheet'!C17)/0.2),IF(B46=6,((1.4-'CT Worksheet'!C17)/0.2),IF(B46=7,((1.6-'CT Worksheet'!C17)/0.2),"")))))))</f>
        <v/>
      </c>
      <c r="D46" s="6"/>
      <c r="E46" s="6"/>
      <c r="F46" s="22"/>
      <c r="G46" s="6"/>
      <c r="H46" s="40"/>
      <c r="I46" s="45" t="e">
        <f>I41</f>
        <v>#N/A</v>
      </c>
      <c r="J46" s="61" t="str">
        <f>IF(OR(F6="",E51=""),"",HLOOKUP(E51,CTtable,B45+1,FALSE))</f>
        <v/>
      </c>
      <c r="K46" s="42" t="str">
        <f>IF(OR(F6="",D51=""),"",HLOOKUP(D51,CTtable,B45+1,FALSE))</f>
        <v/>
      </c>
      <c r="L46" s="62" t="str">
        <f>IF(OR(F6="",E52=""),"",HLOOKUP(E52,CTtable,B45+1,FALSE))</f>
        <v/>
      </c>
      <c r="M46" s="72" t="str">
        <f>IF(OR(F6="",D52=""),"",HLOOKUP(D52,CTtable,B45+1,FALSE))</f>
        <v/>
      </c>
      <c r="N46" s="22"/>
      <c r="O46" s="63" t="str">
        <f>IF(OR(J46="",L46=""),"",L46-((L46-J46)*C40))</f>
        <v/>
      </c>
      <c r="P46" s="64" t="str">
        <f>IF(OR(M46="",M46=""),"",M46-((M46-K46)*C40))</f>
        <v/>
      </c>
      <c r="Q46" s="65" t="str">
        <f>IF(OR(P46="",O46=""),"",P46-((P46-O46)*C38))</f>
        <v/>
      </c>
      <c r="R46" s="22"/>
      <c r="S46" s="22"/>
      <c r="T46" s="22"/>
      <c r="U46" s="7"/>
      <c r="V46" s="28"/>
      <c r="W46" s="58">
        <v>1.6</v>
      </c>
      <c r="X46" s="75" t="str">
        <f>IF(E49="","",HLOOKUP(E49,CTtable,8,FALSE))</f>
        <v/>
      </c>
      <c r="Y46" s="22" t="str">
        <f>IF(D49="","",HLOOKUP(D49,CTtable,8,FALSE))</f>
        <v/>
      </c>
      <c r="Z46" s="75" t="str">
        <f>IF(E50="","",HLOOKUP(E50,CTtable,8,FALSE))</f>
        <v/>
      </c>
      <c r="AA46" s="73" t="str">
        <f>IF(D50="","",HLOOKUP(D50,CTtable,8,FALSE))</f>
        <v/>
      </c>
      <c r="AB46" s="75" t="str">
        <f>IF(E51="","",HLOOKUP(E51,CTtable,8,FALSE))</f>
        <v/>
      </c>
      <c r="AC46" s="22" t="str">
        <f>IF(D51="","",HLOOKUP(D51,CTtable,8,FALSE))</f>
        <v/>
      </c>
      <c r="AD46" s="75" t="str">
        <f>IF(E52="","",HLOOKUP(E52,CTtable,8,FALSE))</f>
        <v/>
      </c>
      <c r="AE46" s="73" t="str">
        <f>IF($D$52="","",HLOOKUP($D$52,CTtable,8,FALSE))</f>
        <v/>
      </c>
      <c r="AF46" s="6"/>
      <c r="AG46" s="78" t="str">
        <f t="shared" si="22"/>
        <v/>
      </c>
      <c r="AH46" s="76" t="str">
        <f t="shared" si="19"/>
        <v/>
      </c>
      <c r="AI46" s="78" t="str">
        <f t="shared" si="20"/>
        <v/>
      </c>
      <c r="AJ46" s="79" t="str">
        <f t="shared" si="21"/>
        <v/>
      </c>
      <c r="AK46" s="22"/>
      <c r="AL46" s="100" t="str">
        <f t="shared" si="16"/>
        <v/>
      </c>
      <c r="AM46" s="101" t="str">
        <f t="shared" si="17"/>
        <v/>
      </c>
      <c r="AN46" s="112" t="str">
        <f t="shared" si="18"/>
        <v/>
      </c>
      <c r="AO46" s="7"/>
      <c r="AQ46" s="28"/>
      <c r="AR46" s="6"/>
      <c r="AS46" s="6"/>
      <c r="AT46" s="6"/>
      <c r="BF46" s="7"/>
      <c r="BH46" s="28" t="s">
        <v>75</v>
      </c>
      <c r="BI46" s="12" t="str">
        <f>IF(BI45="","",IF(Temp2&gt;=25,6,IF(BI45&gt;=2,BI45-1,1)))</f>
        <v/>
      </c>
      <c r="BJ46" s="12"/>
      <c r="BK46" s="6"/>
      <c r="BL46" s="6"/>
      <c r="BM46" s="565" t="s">
        <v>443</v>
      </c>
      <c r="BN46" s="565"/>
      <c r="BO46" s="6"/>
      <c r="BP46" s="6"/>
      <c r="BQ46" s="6"/>
      <c r="BR46" s="22" t="s">
        <v>58</v>
      </c>
      <c r="BS46" s="7"/>
      <c r="BU46" s="28" t="s">
        <v>75</v>
      </c>
      <c r="BV46" s="12" t="str">
        <f>IF(BV45="","",IF(Temp2&gt;=25,6,IF(BV45&gt;=2,BV45-1,1)))</f>
        <v/>
      </c>
      <c r="BW46" s="12"/>
      <c r="BX46" s="6"/>
      <c r="BY46" s="6"/>
      <c r="BZ46" s="565" t="s">
        <v>443</v>
      </c>
      <c r="CA46" s="565"/>
      <c r="CB46" s="212"/>
      <c r="CC46" s="147" t="s">
        <v>497</v>
      </c>
      <c r="CD46" s="147"/>
      <c r="CE46" s="22" t="s">
        <v>58</v>
      </c>
      <c r="CF46" s="7"/>
      <c r="CH46" s="28" t="s">
        <v>75</v>
      </c>
      <c r="CI46" s="12" t="str">
        <f>IF(CI45="","",IF(Temp2&gt;=25,6,IF(CI45&gt;=2,CI45-1,1)))</f>
        <v/>
      </c>
      <c r="CJ46" s="12"/>
      <c r="CK46" s="6"/>
      <c r="CL46" s="6"/>
      <c r="CM46" s="6"/>
      <c r="CN46" s="6"/>
      <c r="CO46" s="6"/>
      <c r="CP46" s="6"/>
      <c r="CQ46" s="6"/>
      <c r="CR46" s="6"/>
      <c r="CS46" s="7"/>
      <c r="CU46" s="235"/>
      <c r="CV46" s="12"/>
      <c r="CW46" s="190"/>
      <c r="CX46" s="6"/>
      <c r="CY46" s="6"/>
      <c r="CZ46" s="22"/>
      <c r="DA46" s="6"/>
      <c r="DB46" s="36"/>
      <c r="DC46" s="243"/>
      <c r="DD46" s="241"/>
      <c r="DE46" s="241"/>
      <c r="DF46" s="241"/>
      <c r="DG46" s="241"/>
      <c r="DH46" s="241"/>
      <c r="DI46" s="241"/>
      <c r="DJ46" s="241"/>
      <c r="DK46" s="241"/>
      <c r="DL46" s="440"/>
      <c r="DM46" s="241"/>
      <c r="DN46" s="241"/>
      <c r="DO46" s="7"/>
    </row>
    <row r="47" spans="1:119" ht="13.5" thickBot="1" x14ac:dyDescent="0.25">
      <c r="A47" s="28" t="s">
        <v>79</v>
      </c>
      <c r="B47" s="6" t="str">
        <f>IF(OR(B46&lt;&gt;"",DR_2=""),"",IF(DR_2&lt;=1.8,8,IF(DR_2&lt;=2,9,IF(DR_2&lt;=2.2,10,IF(DR_2&lt;=2.4,11,IF(DR_2&lt;=2.6,12,IF(DR_2&lt;=2.8,13,IF('CT Worksheet'!C17&lt;=3,14,15))))))))</f>
        <v/>
      </c>
      <c r="C47" s="44" t="str">
        <f>IF(B47=8,((1.8-'CT Worksheet'!C17)/0.2),IF(B47=9,((2-'CT Worksheet'!C17)/0.2),IF(B47=10,((2.2-'CT Worksheet'!C17)/0.2),IF(B47=11,((2.4-'CT Worksheet'!C17)/0.2),IF(B47=12,((2.6-'CT Worksheet'!C17)/0.2),IF(B47=13,((2.8-'CT Worksheet'!C17)/0.2),IF(B47=14,((3-'CT Worksheet'!C17)/0.2),IF(B47=15,0,""))))))))</f>
        <v/>
      </c>
      <c r="D47" s="6"/>
      <c r="E47" s="46"/>
      <c r="F47" s="130"/>
      <c r="G47" s="6"/>
      <c r="H47" s="40"/>
      <c r="I47" s="45" t="e">
        <f>I42</f>
        <v>#N/A</v>
      </c>
      <c r="J47" s="67" t="str">
        <f>IF(OR(F6="",E51=""),"",HLOOKUP(E51,CTtable,IF(B44=15,B44,B44+1),FALSE))</f>
        <v/>
      </c>
      <c r="K47" s="59" t="str">
        <f>IF(OR(F6="",D51=""),"",HLOOKUP(D51,CTtable,IF(B44=15,B44,B44+1),FALSE))</f>
        <v/>
      </c>
      <c r="L47" s="60" t="str">
        <f>IF(OR(F6="",E52=""),"",HLOOKUP(E52,CTtable,IF(B44=15,B44,B44+1),FALSE))</f>
        <v/>
      </c>
      <c r="M47" s="73" t="str">
        <f>IF(OR(F6="",D52=""),"",HLOOKUP(D52,CTtable,IF(B44=15,B44,B44+1),FALSE))</f>
        <v/>
      </c>
      <c r="N47" s="22"/>
      <c r="O47" s="69" t="str">
        <f>IF(OR(J47="",L47=""),"",L47-((L47-J47)*C40))</f>
        <v/>
      </c>
      <c r="P47" s="70" t="str">
        <f>IF(OR(M47="",M47=""),"",M47-((M47-K47)*C40))</f>
        <v/>
      </c>
      <c r="Q47" s="71" t="str">
        <f>IF(OR(P47="",O47=""),"",P47-((P47-O47)*C38))</f>
        <v/>
      </c>
      <c r="R47" s="22"/>
      <c r="S47" s="22"/>
      <c r="T47" s="22"/>
      <c r="U47" s="7"/>
      <c r="V47" s="28"/>
      <c r="W47" s="58">
        <v>1.8</v>
      </c>
      <c r="X47" s="75" t="str">
        <f>IF(E49="","",HLOOKUP(E49,CTtable,9,FALSE))</f>
        <v/>
      </c>
      <c r="Y47" s="22" t="str">
        <f>IF(D49="","",HLOOKUP(D49,CTtable,9,FALSE))</f>
        <v/>
      </c>
      <c r="Z47" s="75" t="str">
        <f>IF(E50="","",HLOOKUP(E50,CTtable,9,FALSE))</f>
        <v/>
      </c>
      <c r="AA47" s="73" t="str">
        <f>IF(D50="","",HLOOKUP(D50,CTtable,9,FALSE))</f>
        <v/>
      </c>
      <c r="AB47" s="75" t="str">
        <f>IF(E51="","",HLOOKUP(E51,CTtable,9,FALSE))</f>
        <v/>
      </c>
      <c r="AC47" s="22" t="str">
        <f>IF(D51="","",HLOOKUP(D51,CTtable,9,FALSE))</f>
        <v/>
      </c>
      <c r="AD47" s="75" t="str">
        <f>IF(E52="","",HLOOKUP(E52,CTtable,9,FALSE))</f>
        <v/>
      </c>
      <c r="AE47" s="73" t="str">
        <f>IF($D$52="","",HLOOKUP($D$52,CTtable,9,FALSE))</f>
        <v/>
      </c>
      <c r="AF47" s="6"/>
      <c r="AG47" s="78" t="str">
        <f t="shared" si="22"/>
        <v/>
      </c>
      <c r="AH47" s="76" t="str">
        <f t="shared" si="19"/>
        <v/>
      </c>
      <c r="AI47" s="78" t="str">
        <f t="shared" si="20"/>
        <v/>
      </c>
      <c r="AJ47" s="79" t="str">
        <f t="shared" si="21"/>
        <v/>
      </c>
      <c r="AK47" s="22"/>
      <c r="AL47" s="100" t="str">
        <f t="shared" si="16"/>
        <v/>
      </c>
      <c r="AM47" s="101" t="str">
        <f t="shared" si="17"/>
        <v/>
      </c>
      <c r="AN47" s="112" t="str">
        <f t="shared" si="18"/>
        <v/>
      </c>
      <c r="AO47" s="7"/>
      <c r="AQ47" s="28"/>
      <c r="AR47" s="6"/>
      <c r="AS47" s="6"/>
      <c r="AT47" s="6"/>
      <c r="AU47" s="6"/>
      <c r="AV47" s="6"/>
      <c r="AW47" s="6"/>
      <c r="AX47" s="6"/>
      <c r="AY47" s="6"/>
      <c r="AZ47" s="6"/>
      <c r="BA47" s="6"/>
      <c r="BB47" s="6"/>
      <c r="BC47" s="6"/>
      <c r="BD47" s="6"/>
      <c r="BE47" s="6"/>
      <c r="BF47" s="7"/>
      <c r="BH47" s="28"/>
      <c r="BI47" s="6"/>
      <c r="BJ47" s="6"/>
      <c r="BK47" s="6"/>
      <c r="BL47" s="6"/>
      <c r="BM47" s="22" t="e">
        <f>HLOOKUP(BI43,ClOvTable,2,FALSE)</f>
        <v>#N/A</v>
      </c>
      <c r="BN47" s="22" t="e">
        <f>HLOOKUP(BI42,ClOvTable,2,FALSE)</f>
        <v>#N/A</v>
      </c>
      <c r="BO47" s="22"/>
      <c r="BP47" s="24" t="str">
        <f>CONCATENATE(logVirusR,"-log")</f>
        <v>-log</v>
      </c>
      <c r="BQ47" s="6"/>
      <c r="BR47" s="24" t="str">
        <f>CONCATENATE('CT Worksheet'!C16,'CT Worksheet'!D16)</f>
        <v/>
      </c>
      <c r="BS47" s="224"/>
      <c r="BT47" s="6"/>
      <c r="BU47" s="28"/>
      <c r="BV47" s="6"/>
      <c r="BW47" s="6"/>
      <c r="BX47" s="6"/>
      <c r="BY47" s="6"/>
      <c r="BZ47" s="22" t="e">
        <f>HLOOKUP(BV43,O3vTable,2,FALSE)</f>
        <v>#N/A</v>
      </c>
      <c r="CA47" s="22" t="e">
        <f>HLOOKUP(BV42,O3vTable,2,FALSE)</f>
        <v>#N/A</v>
      </c>
      <c r="CB47" s="22"/>
      <c r="CC47" s="24" t="str">
        <f>CONCATENATE(logVirusR,"-log")</f>
        <v>-log</v>
      </c>
      <c r="CD47" s="6"/>
      <c r="CE47" s="24" t="str">
        <f>CONCATENATE('CT Worksheet'!C16,'CT Worksheet'!D16)</f>
        <v/>
      </c>
      <c r="CF47" s="224"/>
      <c r="CH47" s="28"/>
      <c r="CI47" s="6"/>
      <c r="CJ47" s="6"/>
      <c r="CK47" s="6"/>
      <c r="CL47" s="6"/>
      <c r="CM47" s="6"/>
      <c r="CN47" s="6"/>
      <c r="CO47" s="6"/>
      <c r="CP47" s="586" t="s">
        <v>498</v>
      </c>
      <c r="CQ47" s="586"/>
      <c r="CR47" s="586"/>
      <c r="CS47" s="224"/>
      <c r="CU47" s="235"/>
      <c r="CV47" s="12"/>
      <c r="CW47" s="190"/>
      <c r="CX47" s="6"/>
      <c r="CY47" s="46"/>
      <c r="CZ47" s="130"/>
      <c r="DA47" s="6"/>
      <c r="DB47" s="36"/>
      <c r="DC47" s="243"/>
      <c r="DD47" s="241"/>
      <c r="DE47" s="241"/>
      <c r="DF47" s="241"/>
      <c r="DG47" s="241"/>
      <c r="DH47" s="241"/>
      <c r="DI47" s="241"/>
      <c r="DJ47" s="241"/>
      <c r="DK47" s="241"/>
      <c r="DL47" s="440"/>
      <c r="DM47" s="241"/>
      <c r="DN47" s="241"/>
      <c r="DO47" s="7"/>
    </row>
    <row r="48" spans="1:119" ht="13.5" thickBot="1" x14ac:dyDescent="0.25">
      <c r="A48" s="28"/>
      <c r="B48" s="6"/>
      <c r="C48" s="6"/>
      <c r="D48" s="6"/>
      <c r="E48" s="6"/>
      <c r="F48" s="22" t="s">
        <v>430</v>
      </c>
      <c r="G48" s="6"/>
      <c r="H48" s="6"/>
      <c r="I48" s="6"/>
      <c r="J48" s="566" t="e">
        <f>CONCATENATE("pH ",HLOOKUP(D51,CTtable,17,FALSE),", ",HLOOKUP(D51,CTtable,18,FALSE),"C")</f>
        <v>#N/A</v>
      </c>
      <c r="K48" s="567"/>
      <c r="L48" s="568" t="e">
        <f>CONCATENATE("pH ",HLOOKUP(D52,CTtable,17,FALSE),", ",HLOOKUP(D52,CTtable,18,FALSE),"C")</f>
        <v>#N/A</v>
      </c>
      <c r="M48" s="566"/>
      <c r="N48" s="6"/>
      <c r="O48" s="613" t="e">
        <f>CONCATENATE("pH ",'CT Worksheet'!C18,", ",HLOOKUP(D51,CTtable,18,FALSE),"C")</f>
        <v>#N/A</v>
      </c>
      <c r="P48" s="613"/>
      <c r="Q48" s="613"/>
      <c r="R48" s="6"/>
      <c r="S48" s="6"/>
      <c r="T48" s="6"/>
      <c r="U48" s="7"/>
      <c r="V48" s="28"/>
      <c r="W48" s="58">
        <v>2</v>
      </c>
      <c r="X48" s="75" t="str">
        <f>IF(E49="","",HLOOKUP(E49,CTtable,10,FALSE))</f>
        <v/>
      </c>
      <c r="Y48" s="22" t="str">
        <f>IF(D49="","",HLOOKUP(D49,CTtable,10,FALSE))</f>
        <v/>
      </c>
      <c r="Z48" s="75" t="str">
        <f>IF(E50="","",HLOOKUP(E50,CTtable,10,FALSE))</f>
        <v/>
      </c>
      <c r="AA48" s="73" t="str">
        <f>IF(D50="","",HLOOKUP(D50,CTtable,10,FALSE))</f>
        <v/>
      </c>
      <c r="AB48" s="75" t="str">
        <f>IF(E51="","",HLOOKUP(E51,CTtable,10,FALSE))</f>
        <v/>
      </c>
      <c r="AC48" s="22" t="str">
        <f>IF(D51="","",HLOOKUP(D51,CTtable,10,FALSE))</f>
        <v/>
      </c>
      <c r="AD48" s="75" t="str">
        <f>IF(E52="","",HLOOKUP(E52,CTtable,10,FALSE))</f>
        <v/>
      </c>
      <c r="AE48" s="73" t="str">
        <f>IF($D$52="","",HLOOKUP($D$52,CTtable,10,FALSE))</f>
        <v/>
      </c>
      <c r="AF48" s="6"/>
      <c r="AG48" s="78" t="str">
        <f t="shared" si="22"/>
        <v/>
      </c>
      <c r="AH48" s="76" t="str">
        <f t="shared" si="19"/>
        <v/>
      </c>
      <c r="AI48" s="78" t="str">
        <f t="shared" si="20"/>
        <v/>
      </c>
      <c r="AJ48" s="79" t="str">
        <f t="shared" si="21"/>
        <v/>
      </c>
      <c r="AK48" s="22"/>
      <c r="AL48" s="100" t="str">
        <f t="shared" si="16"/>
        <v/>
      </c>
      <c r="AM48" s="101" t="str">
        <f t="shared" si="17"/>
        <v/>
      </c>
      <c r="AN48" s="112" t="str">
        <f t="shared" si="18"/>
        <v/>
      </c>
      <c r="AO48" s="7"/>
      <c r="AQ48" s="183" t="s">
        <v>464</v>
      </c>
      <c r="AR48" s="35"/>
      <c r="AS48" s="42" t="str">
        <f>IF(OR(AR40="",AR43="",AR42=3),"",CONCATENATE(AR43,"-",AR40))</f>
        <v/>
      </c>
      <c r="AT48" s="72" t="str">
        <f>IF(OR(AR41="",AR43="",AR42=3),"",IF(AR41=0,0,CONCATENATE(AR43,"-",AR41)))</f>
        <v/>
      </c>
      <c r="AU48" s="6"/>
      <c r="AV48" s="6"/>
      <c r="AW48" s="6"/>
      <c r="AX48" s="6"/>
      <c r="AY48" s="6"/>
      <c r="AZ48" s="6"/>
      <c r="BA48" s="6"/>
      <c r="BB48" s="6"/>
      <c r="BC48" s="6"/>
      <c r="BD48" s="6"/>
      <c r="BE48" s="6"/>
      <c r="BF48" s="7"/>
      <c r="BH48" s="327" t="s">
        <v>608</v>
      </c>
      <c r="BI48" s="343" t="str">
        <f>IF(OR(logCryptoR="",'CT Worksheet'!B17&lt;&gt;"Chlorine Dioxide"),"",IF((logCryptoR&lt;=0.25),1,IF((logCryptoR&lt;=0.5),2,IF((logCryptoR&lt;=1),3,IF((logCryptoR&lt;=1.5),4,IF((logCryptoR&lt;=2),5,IF((logCryptoR&lt;=2.5),6,7)))))))</f>
        <v/>
      </c>
      <c r="BJ48" s="344">
        <f>IF((BI48=2),((0.5-logCryptoR)/0.25),IF((BI48=3),((1-logCryptoR)/0.5),IF((BI48=4),((1.5-logCryptoR)/0.5),IF((BI48=5),((2-logCryptoR)/0.5),IF((BI48=6),((2.5-logCryptoR)/0.5),IF((BI48=7),((3-logCryptoR)/0.5),IF((BI49=0),((0.25-logCryptoR)/0.25),0)))))))</f>
        <v>0</v>
      </c>
      <c r="BK48" s="6"/>
      <c r="BL48" s="45" t="e">
        <f>CONCATENATE(VLOOKUP(BI46,ClOvTable,2,FALSE)," C")</f>
        <v>#N/A</v>
      </c>
      <c r="BM48" s="145" t="str">
        <f>IF(OR(F6="",BI43="",'CT Worksheet'!C18&gt;9),"",HLOOKUP(BI43,ClOvTable,BI46+2,FALSE))</f>
        <v/>
      </c>
      <c r="BN48" s="145" t="str">
        <f>IF(OR(F6="",BI42="",'CT Worksheet'!C18&gt;9),"",HLOOKUP(BI42,ClOvTable,BI46+2,FALSE))</f>
        <v/>
      </c>
      <c r="BO48" s="22"/>
      <c r="BP48" s="219" t="str">
        <f>IF(OR(BN48="",BM48=""),"",BN48-((BN48-BM48)*BJ42))</f>
        <v/>
      </c>
      <c r="BQ48" s="6"/>
      <c r="BR48" s="182" t="str">
        <f>IF(OR(BP48="",BP49=""),"",BP49-((BP49-BP48)*BJ45))</f>
        <v/>
      </c>
      <c r="BS48" s="7"/>
      <c r="BT48" s="6"/>
      <c r="BU48" s="327" t="s">
        <v>619</v>
      </c>
      <c r="BV48" s="343" t="str">
        <f>IF(OR(logCryptoR="",'CT Worksheet'!B17&lt;&gt;"Ozone"),"",IF((logCryptoR&lt;=0.25),1,IF((logCryptoR&lt;=0.5),2,IF((logCryptoR&lt;=1),3,IF((logCryptoR&lt;=1.5),4,IF((logCryptoR&lt;=2),5,IF((logCryptoR&lt;=2.5),6,7)))))))</f>
        <v/>
      </c>
      <c r="BW48" s="344">
        <f>IF((BV48=2),((0.5-logCryptoR)/0.25),IF((BV48=3),((1-logCryptoR)/0.5),IF((BV48=4),((1.5-logCryptoR)/0.5),IF((BV48=5),((2-logCryptoR)/0.5),IF((BV48=6),((2.5-logCryptoR)/0.5),IF((BV48=7),((3-logCryptoR)/0.5),IF((BV49=0),((0.25-logCryptoR)/0.25),0)))))))</f>
        <v>0</v>
      </c>
      <c r="BX48" s="6"/>
      <c r="BY48" s="45" t="e">
        <f>CONCATENATE(VLOOKUP(BV46,O3vTable,2,FALSE)," C")</f>
        <v>#N/A</v>
      </c>
      <c r="BZ48" s="145" t="str">
        <f>IF(OR(F6="",BV43=""),"",HLOOKUP(BV43,O3vTable,BV46+2,FALSE))</f>
        <v/>
      </c>
      <c r="CA48" s="145" t="str">
        <f>IF(OR(F6="",BV42=""),"",HLOOKUP(BV42,O3vTable,BV46+2,FALSE))</f>
        <v/>
      </c>
      <c r="CB48" s="22"/>
      <c r="CC48" s="219" t="str">
        <f>IF(OR(CA48="",BZ48=""),"",CA48-((CA48-BZ48)*BW42))</f>
        <v/>
      </c>
      <c r="CD48" s="6"/>
      <c r="CE48" s="182" t="str">
        <f>IF(OR(CC48="",CC49=""),"",CC49-((CC49-CC48)*BW45))</f>
        <v/>
      </c>
      <c r="CF48" s="7"/>
      <c r="CH48" s="28"/>
      <c r="CI48" s="6"/>
      <c r="CJ48" s="6"/>
      <c r="CK48" s="6"/>
      <c r="CL48" s="6"/>
      <c r="CM48" s="565" t="s">
        <v>443</v>
      </c>
      <c r="CN48" s="565"/>
      <c r="CO48" s="212"/>
      <c r="CP48" s="147" t="s">
        <v>497</v>
      </c>
      <c r="CQ48" s="147"/>
      <c r="CR48" s="22" t="s">
        <v>58</v>
      </c>
      <c r="CS48" s="7"/>
      <c r="CU48" s="28"/>
      <c r="CV48" s="6"/>
      <c r="CW48" s="6"/>
      <c r="CX48" s="6"/>
      <c r="CY48" s="12"/>
      <c r="CZ48" s="81"/>
      <c r="DA48" s="6"/>
      <c r="DB48" s="12"/>
      <c r="DC48" s="12"/>
      <c r="DD48" s="241"/>
      <c r="DE48" s="241"/>
      <c r="DF48" s="241"/>
      <c r="DG48" s="241"/>
      <c r="DH48" s="241"/>
      <c r="DI48" s="241"/>
      <c r="DJ48" s="241"/>
      <c r="DK48" s="241"/>
      <c r="DL48" s="440"/>
      <c r="DM48" s="241"/>
      <c r="DN48" s="241"/>
      <c r="DO48" s="7"/>
    </row>
    <row r="49" spans="1:119" ht="13.5" thickBot="1" x14ac:dyDescent="0.25">
      <c r="A49" s="31" t="s">
        <v>51</v>
      </c>
      <c r="B49" s="35"/>
      <c r="C49" s="35"/>
      <c r="D49" s="42" t="str">
        <f>IF(OR(B38="",B40="",B42="",B40=8),"",CONCATENATE(B43,"-",B41,"-",B38))</f>
        <v/>
      </c>
      <c r="E49" s="117" t="str">
        <f>IF((D49=""),"",IF(B39=0,0,CONCATENATE(B43,"-",B41,"-",B39)))</f>
        <v/>
      </c>
      <c r="F49" s="72" t="str">
        <f>IF(D49="","",HLOOKUP(D49,CTtable,19,FALSE))</f>
        <v/>
      </c>
      <c r="G49" s="6"/>
      <c r="H49" s="6"/>
      <c r="I49" s="6"/>
      <c r="J49" s="6"/>
      <c r="K49" s="6"/>
      <c r="L49" s="6"/>
      <c r="M49" s="6"/>
      <c r="N49" s="6"/>
      <c r="O49" s="6"/>
      <c r="P49" s="6"/>
      <c r="Q49" s="6"/>
      <c r="R49" s="6"/>
      <c r="S49" s="6"/>
      <c r="T49" s="6"/>
      <c r="U49" s="7"/>
      <c r="V49" s="28"/>
      <c r="W49" s="58">
        <v>2.2000000000000002</v>
      </c>
      <c r="X49" s="75" t="str">
        <f>IF(E49="","",HLOOKUP(E49,CTtable,11,FALSE))</f>
        <v/>
      </c>
      <c r="Y49" s="22" t="str">
        <f>IF(D49="","",HLOOKUP(D49,CTtable,11,FALSE))</f>
        <v/>
      </c>
      <c r="Z49" s="75" t="str">
        <f>IF(E50="","",HLOOKUP(E50,CTtable,11,FALSE))</f>
        <v/>
      </c>
      <c r="AA49" s="73" t="str">
        <f>IF(D50="","",HLOOKUP(D50,CTtable,11,FALSE))</f>
        <v/>
      </c>
      <c r="AB49" s="75" t="str">
        <f>IF(E51="","",HLOOKUP(E51,CTtable,11,FALSE))</f>
        <v/>
      </c>
      <c r="AC49" s="22" t="str">
        <f>IF(D51="","",HLOOKUP(D51,CTtable,11,FALSE))</f>
        <v/>
      </c>
      <c r="AD49" s="75" t="str">
        <f>IF(E52="","",HLOOKUP(E52,CTtable,11,FALSE))</f>
        <v/>
      </c>
      <c r="AE49" s="73" t="str">
        <f>IF($D$52="","",HLOOKUP($D$52,CTtable,11,FALSE))</f>
        <v/>
      </c>
      <c r="AF49" s="6"/>
      <c r="AG49" s="78" t="str">
        <f t="shared" si="22"/>
        <v/>
      </c>
      <c r="AH49" s="76" t="str">
        <f t="shared" si="19"/>
        <v/>
      </c>
      <c r="AI49" s="78" t="str">
        <f t="shared" si="20"/>
        <v/>
      </c>
      <c r="AJ49" s="79" t="str">
        <f t="shared" si="21"/>
        <v/>
      </c>
      <c r="AK49" s="22"/>
      <c r="AL49" s="100" t="str">
        <f t="shared" si="16"/>
        <v/>
      </c>
      <c r="AM49" s="101" t="str">
        <f t="shared" si="17"/>
        <v/>
      </c>
      <c r="AN49" s="112" t="str">
        <f t="shared" si="18"/>
        <v/>
      </c>
      <c r="AO49" s="7"/>
      <c r="AQ49" s="184" t="s">
        <v>465</v>
      </c>
      <c r="AR49" s="23"/>
      <c r="AS49" s="59" t="str">
        <f>IF(OR(AR40="",AR43="",AR42=3),"",CONCATENATE(AR42,"-",AR40))</f>
        <v/>
      </c>
      <c r="AT49" s="74" t="str">
        <f>IF(OR(AR42="",AR41="",AR42=3),"",IF(AR41=0,0,CONCATENATE(AR42,"-",AR41)))</f>
        <v/>
      </c>
      <c r="AU49" s="6"/>
      <c r="AV49" s="6"/>
      <c r="AW49" s="6"/>
      <c r="AX49" s="6"/>
      <c r="AY49" s="6"/>
      <c r="AZ49" s="6"/>
      <c r="BA49" s="6"/>
      <c r="BB49" s="6"/>
      <c r="BC49" s="6"/>
      <c r="BD49" s="6"/>
      <c r="BE49" s="6"/>
      <c r="BF49" s="7"/>
      <c r="BH49" s="327" t="s">
        <v>609</v>
      </c>
      <c r="BI49" s="343" t="str">
        <f>IF((BI48=""),"",IF((BI48&gt;=2),(BI48-1),IF((logCryptoR&lt;0.25),0,1)))</f>
        <v/>
      </c>
      <c r="BJ49" s="335"/>
      <c r="BK49" s="6"/>
      <c r="BL49" s="45" t="e">
        <f>CONCATENATE(VLOOKUP(BI45,ClOvTable,2,FALSE)," C")</f>
        <v>#N/A</v>
      </c>
      <c r="BM49" s="145" t="str">
        <f>IF(OR(F6="",BI43="",'CT Worksheet'!C18&gt;9),"",HLOOKUP(BI43,ClOvTable,BI45+2,FALSE))</f>
        <v/>
      </c>
      <c r="BN49" s="145" t="str">
        <f>IF(OR(F6="",BI42="",'CT Worksheet'!C18&gt;9),"",HLOOKUP(BI42,ClOvTable,BI45+2,FALSE))</f>
        <v/>
      </c>
      <c r="BO49" s="22"/>
      <c r="BP49" s="220" t="str">
        <f>IF(OR(BN49="",BM49=""),"",BN49-((BN49-BM49)*BJ42))</f>
        <v/>
      </c>
      <c r="BQ49" s="6"/>
      <c r="BR49" s="181"/>
      <c r="BS49" s="209"/>
      <c r="BT49" s="6"/>
      <c r="BU49" s="327" t="s">
        <v>620</v>
      </c>
      <c r="BV49" s="343" t="str">
        <f>IF((BV48=""),"",IF((BV48&gt;=2),(BV48-1),IF((logCryptoR&lt;0.25),0,1)))</f>
        <v/>
      </c>
      <c r="BW49" s="335"/>
      <c r="BX49" s="6"/>
      <c r="BY49" s="45" t="e">
        <f>CONCATENATE(VLOOKUP(BV45,O3vTable,2,FALSE)," C")</f>
        <v>#N/A</v>
      </c>
      <c r="BZ49" s="145" t="str">
        <f>IF(OR(F6="",BV43=""),"",HLOOKUP(BV43,O3vTable,BV45+2,FALSE))</f>
        <v/>
      </c>
      <c r="CA49" s="145" t="str">
        <f>IF(OR(F6="",BV42=""),"",HLOOKUP(BV42,O3vTable,BV45+2,FALSE))</f>
        <v/>
      </c>
      <c r="CB49" s="22"/>
      <c r="CC49" s="220" t="str">
        <f>IF(OR(CA49="",BZ49=""),"",CA49-((CA49-BZ49)*BW42))</f>
        <v/>
      </c>
      <c r="CD49" s="6"/>
      <c r="CE49" s="181"/>
      <c r="CF49" s="209"/>
      <c r="CH49" s="28"/>
      <c r="CI49" s="6"/>
      <c r="CJ49" s="6"/>
      <c r="CK49" s="6"/>
      <c r="CL49" s="6"/>
      <c r="CM49" s="22" t="e">
        <f>HLOOKUP(CI43,ChloramineTableV,2,FALSE)</f>
        <v>#N/A</v>
      </c>
      <c r="CN49" s="22" t="e">
        <f>HLOOKUP(CI42,ChloramineTableV,2,FALSE)</f>
        <v>#N/A</v>
      </c>
      <c r="CO49" s="22"/>
      <c r="CP49" s="24" t="str">
        <f>CONCATENATE(logGiardiaR,"-log")</f>
        <v>-log</v>
      </c>
      <c r="CQ49" s="6"/>
      <c r="CR49" s="24" t="str">
        <f>CONCATENATE('CT Worksheet'!C11,'CT Worksheet'!D11)</f>
        <v/>
      </c>
      <c r="CS49" s="209"/>
      <c r="CU49" s="183" t="s">
        <v>464</v>
      </c>
      <c r="CV49" s="35"/>
      <c r="CW49" s="117" t="str">
        <f>IF(OR(CV38="",CV41="",CV41=0),"",CONCATENATE(CV41,"-",CV38))</f>
        <v/>
      </c>
      <c r="CX49" s="118" t="str">
        <f>IF(OR(CV39="",CV41="",CV41=0),"",CONCATENATE(CV41,"-",CV39))</f>
        <v/>
      </c>
      <c r="CY49" s="81"/>
      <c r="CZ49" s="81"/>
      <c r="DA49" s="6"/>
      <c r="DB49" s="12"/>
      <c r="DC49" s="12"/>
      <c r="DD49" s="241"/>
      <c r="DE49" s="241"/>
      <c r="DF49" s="241"/>
      <c r="DG49" s="241"/>
      <c r="DH49" s="241"/>
      <c r="DI49" s="241"/>
      <c r="DJ49" s="241"/>
      <c r="DK49" s="241"/>
      <c r="DL49" s="440"/>
      <c r="DM49" s="241"/>
      <c r="DN49" s="241"/>
      <c r="DO49" s="7"/>
    </row>
    <row r="50" spans="1:119" ht="13.5" thickBot="1" x14ac:dyDescent="0.25">
      <c r="A50" s="1" t="s">
        <v>52</v>
      </c>
      <c r="B50" s="6"/>
      <c r="C50" s="6"/>
      <c r="D50" s="22" t="str">
        <f>IF(OR(B38="",B40="",B42="",B40=8),"",CONCATENATE(B43,"-",B40,"-",B38))</f>
        <v/>
      </c>
      <c r="E50" s="81" t="str">
        <f>IF(D50="","",IF(B39=0,0,CONCATENATE(B43,"-",B40,"-",B39)))</f>
        <v/>
      </c>
      <c r="F50" s="73" t="str">
        <f>IF(D50="","",HLOOKUP(D50,CTtable,19,FALSE))</f>
        <v/>
      </c>
      <c r="G50" s="6"/>
      <c r="H50" s="6"/>
      <c r="I50" s="6"/>
      <c r="J50" s="6"/>
      <c r="K50" s="6"/>
      <c r="L50" s="6"/>
      <c r="M50" s="6"/>
      <c r="N50" s="6"/>
      <c r="O50" s="6"/>
      <c r="P50" s="6"/>
      <c r="Q50" s="6"/>
      <c r="R50" s="6"/>
      <c r="S50" s="6"/>
      <c r="T50" s="6"/>
      <c r="U50" s="7"/>
      <c r="V50" s="28"/>
      <c r="W50" s="58">
        <v>2.4</v>
      </c>
      <c r="X50" s="75" t="str">
        <f>IF(E49="","",HLOOKUP(E49,CTtable,12,FALSE))</f>
        <v/>
      </c>
      <c r="Y50" s="22" t="str">
        <f>IF(D49="","",HLOOKUP(D49,CTtable,12,FALSE))</f>
        <v/>
      </c>
      <c r="Z50" s="75" t="str">
        <f>IF(E50="","",HLOOKUP(E50,CTtable,12,FALSE))</f>
        <v/>
      </c>
      <c r="AA50" s="73" t="str">
        <f>IF(D50="","",HLOOKUP(D50,CTtable,12,FALSE))</f>
        <v/>
      </c>
      <c r="AB50" s="75" t="str">
        <f>IF(E51="","",HLOOKUP(E51,CTtable,12,FALSE))</f>
        <v/>
      </c>
      <c r="AC50" s="22" t="str">
        <f>IF(D51="","",HLOOKUP(D51,CTtable,12,FALSE))</f>
        <v/>
      </c>
      <c r="AD50" s="75" t="str">
        <f>IF(E52="","",HLOOKUP(E52,CTtable,12,FALSE))</f>
        <v/>
      </c>
      <c r="AE50" s="73" t="str">
        <f>IF($D$52="","",HLOOKUP($D$52,CTtable,12,FALSE))</f>
        <v/>
      </c>
      <c r="AF50" s="6"/>
      <c r="AG50" s="78" t="str">
        <f t="shared" si="22"/>
        <v/>
      </c>
      <c r="AH50" s="76" t="str">
        <f t="shared" si="19"/>
        <v/>
      </c>
      <c r="AI50" s="78" t="str">
        <f t="shared" si="20"/>
        <v/>
      </c>
      <c r="AJ50" s="79" t="str">
        <f t="shared" si="21"/>
        <v/>
      </c>
      <c r="AK50" s="22"/>
      <c r="AL50" s="100" t="str">
        <f t="shared" si="16"/>
        <v/>
      </c>
      <c r="AM50" s="101" t="str">
        <f t="shared" si="17"/>
        <v/>
      </c>
      <c r="AN50" s="112" t="str">
        <f t="shared" si="18"/>
        <v/>
      </c>
      <c r="AO50" s="7"/>
      <c r="AQ50" s="28"/>
      <c r="AR50" s="6"/>
      <c r="AS50" s="6"/>
      <c r="AT50" s="6"/>
      <c r="AU50" s="6"/>
      <c r="AV50" s="6"/>
      <c r="AW50" s="6"/>
      <c r="AX50" s="6"/>
      <c r="AY50" s="6"/>
      <c r="AZ50" s="6"/>
      <c r="BA50" s="6"/>
      <c r="BB50" s="6"/>
      <c r="BC50" s="6"/>
      <c r="BD50" s="6"/>
      <c r="BE50" s="6"/>
      <c r="BF50" s="7"/>
      <c r="BH50" s="327" t="s">
        <v>610</v>
      </c>
      <c r="BI50" s="12" t="str">
        <f>IF(BI52&lt;&gt;"",BI52,IF(BI53=15,14,BI53))</f>
        <v/>
      </c>
      <c r="BJ50" s="190" t="str">
        <f>IF(BJ52="",BJ53,BJ52)</f>
        <v/>
      </c>
      <c r="BK50" s="6"/>
      <c r="BS50" s="222"/>
      <c r="BT50" s="6"/>
      <c r="BU50" s="327" t="s">
        <v>610</v>
      </c>
      <c r="BV50" s="12" t="str">
        <f>IF(BV52&lt;&gt;"",BV52,IF(BV53=15,14,BV53))</f>
        <v/>
      </c>
      <c r="BW50" s="190" t="str">
        <f>IF(BW52="",BW53,BW52)</f>
        <v/>
      </c>
      <c r="BX50" s="6"/>
      <c r="CF50" s="222"/>
      <c r="CH50" s="28"/>
      <c r="CI50" s="6"/>
      <c r="CJ50" s="6"/>
      <c r="CK50" s="6"/>
      <c r="CL50" s="45" t="e">
        <f>CONCATENATE(VLOOKUP(CI46,ChloramineTableV,2,FALSE)," C")</f>
        <v>#N/A</v>
      </c>
      <c r="CM50" s="145" t="str">
        <f>IF(OR(F6="",CI43="",),"",HLOOKUP(CI43,ChloramineTableV,CI46+2,FALSE))</f>
        <v/>
      </c>
      <c r="CN50" s="145" t="str">
        <f>IF(OR(F6="",CI42=""),"",HLOOKUP(CI42,ChloramineTableV,CI46+2,FALSE))</f>
        <v/>
      </c>
      <c r="CO50" s="22"/>
      <c r="CP50" s="219" t="str">
        <f>IF(OR(CN50="",CM50=""),"",CN50-((CN50-CM50)*CJ42))</f>
        <v/>
      </c>
      <c r="CQ50" s="6"/>
      <c r="CR50" s="182" t="str">
        <f>IF(OR(CP50="",CP51=""),"",CP51-((CP51-CP50)*CJ45))</f>
        <v/>
      </c>
      <c r="CS50" s="222"/>
      <c r="CU50" s="184" t="s">
        <v>465</v>
      </c>
      <c r="CV50" s="23"/>
      <c r="CW50" s="120" t="str">
        <f>IF(OR(CV38="",CV40="",CV40=0),"",CONCATENATE(CV40,"-",CV38))</f>
        <v/>
      </c>
      <c r="CX50" s="121" t="str">
        <f>IF(OR(CV39="",CV40="",CV40=0),"",CONCATENATE(CV40,"-",CV39))</f>
        <v/>
      </c>
      <c r="CY50" s="81"/>
      <c r="CZ50" s="81"/>
      <c r="DA50" s="6"/>
      <c r="DB50" s="12"/>
      <c r="DC50" s="12"/>
      <c r="DD50" s="241"/>
      <c r="DE50" s="241"/>
      <c r="DF50" s="241"/>
      <c r="DG50" s="241"/>
      <c r="DH50" s="241"/>
      <c r="DI50" s="241"/>
      <c r="DJ50" s="241"/>
      <c r="DK50" s="241"/>
      <c r="DL50" s="440"/>
      <c r="DM50" s="241"/>
      <c r="DN50" s="241"/>
      <c r="DO50" s="7"/>
    </row>
    <row r="51" spans="1:119" x14ac:dyDescent="0.2">
      <c r="A51" s="1" t="s">
        <v>53</v>
      </c>
      <c r="B51" s="6"/>
      <c r="C51" s="6"/>
      <c r="D51" s="22" t="str">
        <f>IF(OR(B38="",B40="",B42="",B40=8),"",CONCATENATE(B42,"-",B41,"-",B38))</f>
        <v/>
      </c>
      <c r="E51" s="81" t="str">
        <f>IF(D51="","",IF(B39=0,0,CONCATENATE(B42,"-",B41,"-",B39)))</f>
        <v/>
      </c>
      <c r="F51" s="73" t="str">
        <f>IF(D51="","",HLOOKUP(D51,CTtable,19,FALSE))</f>
        <v/>
      </c>
      <c r="G51" s="6"/>
      <c r="H51" s="6"/>
      <c r="I51" s="6"/>
      <c r="J51" s="6"/>
      <c r="K51" s="6"/>
      <c r="L51" s="6"/>
      <c r="M51" s="6"/>
      <c r="N51" s="6"/>
      <c r="O51" s="6"/>
      <c r="P51" s="6"/>
      <c r="Q51" s="6"/>
      <c r="R51" s="6"/>
      <c r="S51" s="6"/>
      <c r="T51" s="6"/>
      <c r="U51" s="7"/>
      <c r="V51" s="28"/>
      <c r="W51" s="58">
        <v>2.6</v>
      </c>
      <c r="X51" s="75" t="str">
        <f>IF(E49="","",HLOOKUP(E49,CTtable,13,FALSE))</f>
        <v/>
      </c>
      <c r="Y51" s="22" t="str">
        <f>IF(D49="","",HLOOKUP(D49,CTtable,13,FALSE))</f>
        <v/>
      </c>
      <c r="Z51" s="75" t="str">
        <f>IF(E50="","",HLOOKUP(E50,CTtable,13,FALSE))</f>
        <v/>
      </c>
      <c r="AA51" s="73" t="str">
        <f>IF(D50="","",HLOOKUP(D50,CTtable,13,FALSE))</f>
        <v/>
      </c>
      <c r="AB51" s="75" t="str">
        <f>IF(E51="","",HLOOKUP(E51,CTtable,13,FALSE))</f>
        <v/>
      </c>
      <c r="AC51" s="22" t="str">
        <f>IF(D51="","",HLOOKUP(D51,CTtable,13,FALSE))</f>
        <v/>
      </c>
      <c r="AD51" s="75" t="str">
        <f>IF(E52="","",HLOOKUP(E52,CTtable,13,FALSE))</f>
        <v/>
      </c>
      <c r="AE51" s="73" t="str">
        <f>IF($D$52="","",HLOOKUP($D$52,CTtable,13,FALSE))</f>
        <v/>
      </c>
      <c r="AF51" s="6"/>
      <c r="AG51" s="78" t="str">
        <f t="shared" si="22"/>
        <v/>
      </c>
      <c r="AH51" s="76" t="str">
        <f t="shared" si="19"/>
        <v/>
      </c>
      <c r="AI51" s="78" t="str">
        <f t="shared" si="20"/>
        <v/>
      </c>
      <c r="AJ51" s="79" t="str">
        <f t="shared" si="21"/>
        <v/>
      </c>
      <c r="AK51" s="22"/>
      <c r="AL51" s="100" t="str">
        <f t="shared" si="16"/>
        <v/>
      </c>
      <c r="AM51" s="101" t="str">
        <f t="shared" si="17"/>
        <v/>
      </c>
      <c r="AN51" s="112" t="str">
        <f t="shared" si="18"/>
        <v/>
      </c>
      <c r="AO51" s="7"/>
      <c r="AQ51" s="28"/>
      <c r="AR51" s="6"/>
      <c r="AS51" s="6"/>
      <c r="AT51" s="6"/>
      <c r="AU51" s="6"/>
      <c r="AV51" s="6"/>
      <c r="AW51" s="6"/>
      <c r="AX51" s="6"/>
      <c r="AY51" s="6"/>
      <c r="AZ51" s="6"/>
      <c r="BA51" s="6"/>
      <c r="BB51" s="6"/>
      <c r="BC51" s="6"/>
      <c r="BD51" s="6"/>
      <c r="BE51" s="6"/>
      <c r="BF51" s="7"/>
      <c r="BH51" s="327" t="s">
        <v>611</v>
      </c>
      <c r="BI51" s="12" t="str">
        <f>IF(BI50="","",IF(Temp2&gt;=30,11,IF(BI53=15,14,IF(BI50&gt;=2,BI50-1,1))))</f>
        <v/>
      </c>
      <c r="BJ51" s="335"/>
      <c r="BK51" s="6"/>
      <c r="BL51" s="335"/>
      <c r="BM51" s="581" t="s">
        <v>607</v>
      </c>
      <c r="BN51" s="581"/>
      <c r="BO51" s="335"/>
      <c r="BP51" s="336" t="s">
        <v>497</v>
      </c>
      <c r="BQ51" s="335"/>
      <c r="BR51" s="307" t="s">
        <v>58</v>
      </c>
      <c r="BS51" s="222"/>
      <c r="BT51" s="6"/>
      <c r="BU51" s="327" t="s">
        <v>611</v>
      </c>
      <c r="BV51" s="12" t="str">
        <f>IF(BV50="","",IF(Temp2&gt;=30,11,IF(BV53=15,14,IF(BV50&gt;=2,BV50-1,1))))</f>
        <v/>
      </c>
      <c r="BW51" s="335"/>
      <c r="BX51" s="6"/>
      <c r="BY51" s="335"/>
      <c r="BZ51" s="581" t="s">
        <v>607</v>
      </c>
      <c r="CA51" s="581"/>
      <c r="CB51" s="335"/>
      <c r="CC51" s="336" t="s">
        <v>497</v>
      </c>
      <c r="CD51" s="335"/>
      <c r="CE51" s="307" t="s">
        <v>58</v>
      </c>
      <c r="CF51" s="222"/>
      <c r="CH51" s="28"/>
      <c r="CI51" s="6"/>
      <c r="CJ51" s="6"/>
      <c r="CK51" s="6"/>
      <c r="CL51" s="45" t="e">
        <f>CONCATENATE(VLOOKUP(CI45,ChloramineTableV,2,FALSE)," C")</f>
        <v>#N/A</v>
      </c>
      <c r="CM51" s="145" t="str">
        <f>IF(OR(F6="",CI43=""),"",HLOOKUP(CI43,ChloramineTableV,CI45+2,FALSE))</f>
        <v/>
      </c>
      <c r="CN51" s="145" t="str">
        <f>IF(OR(F6="",CI42=""),"",HLOOKUP(CI42,ChloramineTableV,CI45+2,FALSE))</f>
        <v/>
      </c>
      <c r="CO51" s="22"/>
      <c r="CP51" s="220" t="str">
        <f>IF(OR(CN51="",CM51=""),"",CN51-((CN51-CM51)*CJ42))</f>
        <v/>
      </c>
      <c r="CQ51" s="6"/>
      <c r="CR51" s="181"/>
      <c r="CS51" s="222"/>
      <c r="CU51" s="407"/>
      <c r="CV51" s="12"/>
      <c r="CW51" s="12"/>
      <c r="CX51" s="81"/>
      <c r="CY51" s="81"/>
      <c r="CZ51" s="81"/>
      <c r="DA51" s="6"/>
      <c r="DB51" s="6"/>
      <c r="DC51" s="6"/>
      <c r="DD51" s="6"/>
      <c r="DE51" s="6"/>
      <c r="DF51" s="6"/>
      <c r="DG51" s="6"/>
      <c r="DH51" s="6"/>
      <c r="DI51" s="6"/>
      <c r="DJ51" s="6"/>
      <c r="DK51" s="6"/>
      <c r="DL51" s="28"/>
      <c r="DM51" s="6"/>
      <c r="DN51" s="6"/>
      <c r="DO51" s="7"/>
    </row>
    <row r="52" spans="1:119" ht="13.5" thickBot="1" x14ac:dyDescent="0.25">
      <c r="A52" s="33" t="s">
        <v>54</v>
      </c>
      <c r="B52" s="23"/>
      <c r="C52" s="23"/>
      <c r="D52" s="59" t="str">
        <f>IF(OR(B38="",B40="",B42="",B40=8),"",CONCATENATE(B42,"-",B40,"-",B38))</f>
        <v/>
      </c>
      <c r="E52" s="120" t="str">
        <f>IF(D52="","",IF(B39=0,0,CONCATENATE(B42,"-",B40,"-",B39)))</f>
        <v/>
      </c>
      <c r="F52" s="74" t="str">
        <f>IF(D52="","",HLOOKUP(D52,CTtable,19,FALSE))</f>
        <v/>
      </c>
      <c r="G52" s="6"/>
      <c r="H52" s="6"/>
      <c r="I52" s="6"/>
      <c r="J52" s="6"/>
      <c r="K52" s="6"/>
      <c r="L52" s="6"/>
      <c r="M52" s="6"/>
      <c r="N52" s="6"/>
      <c r="O52" s="6"/>
      <c r="P52" s="6"/>
      <c r="Q52" s="6"/>
      <c r="R52" s="6"/>
      <c r="S52" s="6"/>
      <c r="T52" s="6"/>
      <c r="U52" s="7"/>
      <c r="V52" s="28"/>
      <c r="W52" s="58">
        <v>2.8</v>
      </c>
      <c r="X52" s="75" t="str">
        <f>IF(E49="","",HLOOKUP(E49,CTtable,14,FALSE))</f>
        <v/>
      </c>
      <c r="Y52" s="22" t="str">
        <f>IF(D49="","",HLOOKUP(D49,CTtable,14,FALSE))</f>
        <v/>
      </c>
      <c r="Z52" s="75" t="str">
        <f>IF(E50="","",HLOOKUP(E50,CTtable,14,FALSE))</f>
        <v/>
      </c>
      <c r="AA52" s="73" t="str">
        <f>IF(D50="","",HLOOKUP(D50,CTtable,14,FALSE))</f>
        <v/>
      </c>
      <c r="AB52" s="75" t="str">
        <f>IF(E51="","",HLOOKUP(E51,CTtable,14,FALSE))</f>
        <v/>
      </c>
      <c r="AC52" s="22" t="str">
        <f>IF(D51="","",HLOOKUP(D51,CTtable,14,FALSE))</f>
        <v/>
      </c>
      <c r="AD52" s="75" t="str">
        <f>IF(E52="","",HLOOKUP(E52,CTtable,14,FALSE))</f>
        <v/>
      </c>
      <c r="AE52" s="73" t="str">
        <f>IF($D$52="","",HLOOKUP($D$52,CTtable,14,FALSE))</f>
        <v/>
      </c>
      <c r="AF52" s="6"/>
      <c r="AG52" s="78" t="str">
        <f t="shared" si="22"/>
        <v/>
      </c>
      <c r="AH52" s="76" t="str">
        <f t="shared" si="19"/>
        <v/>
      </c>
      <c r="AI52" s="78" t="str">
        <f t="shared" si="20"/>
        <v/>
      </c>
      <c r="AJ52" s="79" t="str">
        <f t="shared" si="21"/>
        <v/>
      </c>
      <c r="AK52" s="22"/>
      <c r="AL52" s="100" t="str">
        <f t="shared" si="16"/>
        <v/>
      </c>
      <c r="AM52" s="101" t="str">
        <f t="shared" si="17"/>
        <v/>
      </c>
      <c r="AN52" s="112" t="str">
        <f t="shared" si="18"/>
        <v/>
      </c>
      <c r="AO52" s="7"/>
      <c r="AQ52" s="28"/>
      <c r="AR52" s="6"/>
      <c r="AS52" s="6"/>
      <c r="AT52" s="6"/>
      <c r="AU52" s="6"/>
      <c r="AV52" s="6"/>
      <c r="AW52" s="6"/>
      <c r="AX52" s="6"/>
      <c r="AY52" s="6"/>
      <c r="AZ52" s="6"/>
      <c r="BA52" s="6"/>
      <c r="BB52" s="6"/>
      <c r="BC52" s="6"/>
      <c r="BD52" s="6"/>
      <c r="BE52" s="6"/>
      <c r="BF52" s="7"/>
      <c r="BH52" s="327" t="s">
        <v>614</v>
      </c>
      <c r="BI52" s="335" t="str">
        <f>IF((G6=""),"",IF((G6&lt;=0),"",IF((G6&lt;=0.5),1,IF((G6&lt;=1),2,IF((G6&lt;=2),3,IF((G6&lt;=3),4,IF((G6&lt;=5),5,IF((G6&lt;=7),6,""))))))))</f>
        <v/>
      </c>
      <c r="BJ52" s="351" t="str">
        <f>IF(BI52=1,0,IF(BI52=2,((1-G6)/0.5),IF(BI52=3,((2-G6)/1),IF(BI52=4,((3-G6)/1),IF(BI52=5,((5-G6)/2),IF(BI52=6,((7-G6)/2),""))))))</f>
        <v/>
      </c>
      <c r="BK52" s="22"/>
      <c r="BL52" s="335"/>
      <c r="BM52" s="334" t="e">
        <f>HLOOKUP(BI49,ClOcTable,2,FALSE)</f>
        <v>#N/A</v>
      </c>
      <c r="BN52" s="334" t="e">
        <f>HLOOKUP(BI48,ClOcTable,2,FALSE)</f>
        <v>#N/A</v>
      </c>
      <c r="BO52" s="335"/>
      <c r="BP52" s="337" t="str">
        <f>CONCATENATE(logCryptoR,"-log")</f>
        <v>-log</v>
      </c>
      <c r="BQ52" s="335"/>
      <c r="BR52" s="24" t="str">
        <f>CONCATENATE('CT Worksheet'!C16,'CT Worksheet'!D16)</f>
        <v/>
      </c>
      <c r="BS52" s="7"/>
      <c r="BT52" s="6"/>
      <c r="BU52" s="327" t="s">
        <v>614</v>
      </c>
      <c r="BV52" s="335" t="str">
        <f>IF((G6=""),"",IF((G6&lt;=0),"",IF((G6&lt;=0.5),1,IF((G6&lt;=1),2,IF((G6&lt;=2),3,IF((G6&lt;=3),4,IF((G6&lt;=5),5,IF((G6&lt;=7),6,""))))))))</f>
        <v/>
      </c>
      <c r="BW52" s="351" t="str">
        <f>IF(BI52=1,0,IF(BI52=2,((1-G6)/0.5),IF(BI52=3,((2-G6)/1),IF(BI52=4,((3-G6)/1),IF(BI52=5,((5-G6)/2),IF(BI52=6,((7-G6)/2),""))))))</f>
        <v/>
      </c>
      <c r="BX52" s="22"/>
      <c r="BY52" s="335"/>
      <c r="BZ52" s="334" t="e">
        <f>HLOOKUP(BV49,O3cTable,2,FALSE)</f>
        <v>#N/A</v>
      </c>
      <c r="CA52" s="334" t="e">
        <f>HLOOKUP(BV48,O3cTable,2,FALSE)</f>
        <v>#N/A</v>
      </c>
      <c r="CB52" s="335"/>
      <c r="CC52" s="337" t="str">
        <f>CONCATENATE(logCryptoR,"-log")</f>
        <v>-log</v>
      </c>
      <c r="CD52" s="335"/>
      <c r="CE52" s="378" t="str">
        <f>CONCATENATE('CT Worksheet'!C16,'CT Worksheet'!D16)</f>
        <v/>
      </c>
      <c r="CF52" s="7"/>
      <c r="CH52" s="28"/>
      <c r="CI52" s="6"/>
      <c r="CJ52" s="22"/>
      <c r="CK52" s="22"/>
      <c r="CL52" s="6"/>
      <c r="CM52" s="6"/>
      <c r="CN52" s="6"/>
      <c r="CO52" s="6"/>
      <c r="CP52" s="6"/>
      <c r="CQ52" s="6"/>
      <c r="CR52" s="6"/>
      <c r="CS52" s="7"/>
      <c r="CU52" s="235"/>
      <c r="CV52" s="12"/>
      <c r="CW52" s="12"/>
      <c r="CX52" s="81"/>
      <c r="CY52" s="81"/>
      <c r="CZ52" s="81"/>
      <c r="DA52" s="6"/>
      <c r="DB52" s="6"/>
      <c r="DC52" s="6"/>
      <c r="DD52" s="6"/>
      <c r="DE52" s="6"/>
      <c r="DF52" s="6"/>
      <c r="DG52" s="6"/>
      <c r="DH52" s="6"/>
      <c r="DI52" s="6"/>
      <c r="DJ52" s="6"/>
      <c r="DK52" s="6"/>
      <c r="DL52" s="28"/>
      <c r="DM52" s="6"/>
      <c r="DN52" s="6"/>
      <c r="DO52" s="7"/>
    </row>
    <row r="53" spans="1:119" ht="13.5" thickBot="1" x14ac:dyDescent="0.25">
      <c r="A53" s="28"/>
      <c r="B53" s="6"/>
      <c r="C53" s="6"/>
      <c r="D53" s="6"/>
      <c r="E53" s="6"/>
      <c r="F53" s="22"/>
      <c r="G53" s="6"/>
      <c r="H53" s="6"/>
      <c r="I53" s="6"/>
      <c r="J53" s="6"/>
      <c r="K53" s="6"/>
      <c r="L53" s="6"/>
      <c r="M53" s="6"/>
      <c r="N53" s="6"/>
      <c r="O53" s="6"/>
      <c r="P53" s="6"/>
      <c r="Q53" s="6"/>
      <c r="R53" s="6"/>
      <c r="S53" s="6"/>
      <c r="T53" s="6"/>
      <c r="U53" s="7"/>
      <c r="V53" s="28"/>
      <c r="W53" s="58">
        <v>3</v>
      </c>
      <c r="X53" s="67" t="str">
        <f>IF(E49="","",HLOOKUP(E49,CTtable,15,FALSE))</f>
        <v/>
      </c>
      <c r="Y53" s="59" t="str">
        <f>IF(D49="","",HLOOKUP(D49,CTtable,15,FALSE))</f>
        <v/>
      </c>
      <c r="Z53" s="67" t="str">
        <f>IF(E50="","",HLOOKUP(E50,CTtable,15,FALSE))</f>
        <v/>
      </c>
      <c r="AA53" s="74" t="str">
        <f>IF(D50="","",HLOOKUP(D50,CTtable,15,FALSE))</f>
        <v/>
      </c>
      <c r="AB53" s="67" t="str">
        <f>IF(E51="","",HLOOKUP(E51,CTtable,15,FALSE))</f>
        <v/>
      </c>
      <c r="AC53" s="59" t="str">
        <f>IF(D51="","",HLOOKUP(D51,CTtable,15,FALSE))</f>
        <v/>
      </c>
      <c r="AD53" s="67" t="str">
        <f>IF(E52="","",HLOOKUP(E52,CTtable,15,FALSE))</f>
        <v/>
      </c>
      <c r="AE53" s="74" t="str">
        <f>IF($D$52="","",HLOOKUP($D$52,CTtable,15,FALSE))</f>
        <v/>
      </c>
      <c r="AF53" s="6"/>
      <c r="AG53" s="78" t="str">
        <f t="shared" si="22"/>
        <v/>
      </c>
      <c r="AH53" s="76" t="str">
        <f t="shared" si="19"/>
        <v/>
      </c>
      <c r="AI53" s="78" t="str">
        <f t="shared" si="20"/>
        <v/>
      </c>
      <c r="AJ53" s="79" t="str">
        <f t="shared" si="21"/>
        <v/>
      </c>
      <c r="AK53" s="22"/>
      <c r="AL53" s="102" t="str">
        <f t="shared" si="16"/>
        <v/>
      </c>
      <c r="AM53" s="109" t="str">
        <f t="shared" si="17"/>
        <v/>
      </c>
      <c r="AN53" s="113" t="str">
        <f t="shared" si="18"/>
        <v/>
      </c>
      <c r="AO53" s="7"/>
      <c r="AQ53" s="28"/>
      <c r="AR53" s="6"/>
      <c r="AS53" s="6"/>
      <c r="AT53" s="6"/>
      <c r="AU53" s="6"/>
      <c r="AV53" s="6"/>
      <c r="AW53" s="6"/>
      <c r="AX53" s="6"/>
      <c r="AY53" s="6"/>
      <c r="AZ53" s="6"/>
      <c r="BA53" s="6"/>
      <c r="BB53" s="6"/>
      <c r="BC53" s="6"/>
      <c r="BD53" s="6"/>
      <c r="BE53" s="6"/>
      <c r="BF53" s="7"/>
      <c r="BH53" s="327" t="s">
        <v>615</v>
      </c>
      <c r="BI53" s="335" t="str">
        <f>IF(OR(BI52&lt;&gt;"",G6=""),"",IF((G6&lt;=10),7,IF((G6&lt;=15),8,IF((G6&lt;=20),9,IF((G6&lt;=25),10,11)))))</f>
        <v/>
      </c>
      <c r="BJ53" s="351" t="str">
        <f>IF(BI51=11,0,IF(BI53=7,((10-G6)/3),IF(BI53=8,((15-G6)/5),IF(BI53=9,((20-G6)/5),IF(BI53=10,((25-G6)/5),IF(BI53=11,((30-G6)/5),IF(BI53=12,0,"")))))))</f>
        <v/>
      </c>
      <c r="BK53" s="22"/>
      <c r="BL53" s="338" t="e">
        <f>CONCATENATE(VLOOKUP(BI51,ClOcTable,2,FALSE)," C")</f>
        <v>#N/A</v>
      </c>
      <c r="BM53" s="303" t="str">
        <f>IF(OR((F6=""),(BI49="")),"",HLOOKUP(BI49,ClOcTable,(BI51+2),FALSE))</f>
        <v/>
      </c>
      <c r="BN53" s="303" t="str">
        <f>IF(OR((F6=""),(BI48="")),"",HLOOKUP(BI48,ClOcTable,(BI51+2),FALSE))</f>
        <v/>
      </c>
      <c r="BO53" s="320"/>
      <c r="BP53" s="339" t="str">
        <f>IF(OR((BN53=""),(BM53="")),"",(BN53-((BN53-BM53)*BJ48)))</f>
        <v/>
      </c>
      <c r="BQ53" s="315"/>
      <c r="BR53" s="380" t="str">
        <f>IF(OR((BP53=""),(BP54="")),"",(BP54-((BP54-BP53)*BJ50)))</f>
        <v/>
      </c>
      <c r="BS53" s="7"/>
      <c r="BT53" s="6"/>
      <c r="BU53" s="327" t="s">
        <v>615</v>
      </c>
      <c r="BV53" s="335" t="str">
        <f>IF(OR(BI52&lt;&gt;"",G6=""),"",IF((G6&lt;=10),7,IF((G6&lt;=15),8,IF((G6&lt;=20),9,IF((G6&lt;=25),10,11)))))</f>
        <v/>
      </c>
      <c r="BW53" s="351" t="str">
        <f>IF(BV51=11,0,IF(BI53=7,((10-G6)/3),IF(BI53=8,((15-G6)/5),IF(BI53=9,((20-G6)/5),IF(BI53=10,((25-G6)/5),IF(BI53=11,((30-G6)/5),IF(BI53=12,0,"")))))))</f>
        <v/>
      </c>
      <c r="BX53" s="22"/>
      <c r="BY53" s="338" t="e">
        <f>CONCATENATE(VLOOKUP(BV51,O3cTable,2,FALSE)," C")</f>
        <v>#N/A</v>
      </c>
      <c r="BZ53" s="303" t="str">
        <f>IF(OR((F6=""),(BV49="")),"",HLOOKUP(BV49,O3cTable,(BV51+2),FALSE))</f>
        <v/>
      </c>
      <c r="CA53" s="303" t="str">
        <f>IF(OR((F6=""),(BV48="")),"",HLOOKUP(BV48,O3cTable,(BV51+2),FALSE))</f>
        <v/>
      </c>
      <c r="CB53" s="320"/>
      <c r="CC53" s="339" t="str">
        <f>IF(OR((CA53=""),(BZ53="")),"",(CA53-((CA53-BZ53)*BW48)))</f>
        <v/>
      </c>
      <c r="CD53" s="315"/>
      <c r="CE53" s="380" t="str">
        <f>IF(OR((CC53=""),(CC54="")),"",(CC54-((CC54-CC53)*BW50)))</f>
        <v/>
      </c>
      <c r="CF53" s="7"/>
      <c r="CH53" s="28"/>
      <c r="CI53" s="6"/>
      <c r="CJ53" s="22"/>
      <c r="CK53" s="22"/>
      <c r="CL53" s="6"/>
      <c r="CM53" s="6"/>
      <c r="CN53" s="6"/>
      <c r="CO53" s="6"/>
      <c r="CP53" s="6"/>
      <c r="CQ53" s="6"/>
      <c r="CR53" s="6"/>
      <c r="CS53" s="7"/>
      <c r="CU53" s="28"/>
      <c r="CV53" s="6"/>
      <c r="CW53" s="6"/>
      <c r="CX53" s="6"/>
      <c r="CY53" s="12"/>
      <c r="CZ53" s="81"/>
      <c r="DA53" s="6"/>
      <c r="DB53" s="6"/>
      <c r="DC53" s="6"/>
      <c r="DD53" s="6"/>
      <c r="DE53" s="6"/>
      <c r="DF53" s="6"/>
      <c r="DG53" s="6"/>
      <c r="DH53" s="6"/>
      <c r="DI53" s="6"/>
      <c r="DJ53" s="6"/>
      <c r="DK53" s="6"/>
      <c r="DL53" s="28"/>
      <c r="DM53" s="6"/>
      <c r="DN53" s="6"/>
      <c r="DO53" s="7"/>
    </row>
    <row r="54" spans="1:119" ht="13.5" thickBot="1" x14ac:dyDescent="0.25">
      <c r="A54" s="29"/>
      <c r="B54" s="9"/>
      <c r="C54" s="9"/>
      <c r="D54" s="9"/>
      <c r="E54" s="9"/>
      <c r="F54" s="9"/>
      <c r="G54" s="9"/>
      <c r="H54" s="9"/>
      <c r="I54" s="9"/>
      <c r="J54" s="9"/>
      <c r="K54" s="9"/>
      <c r="L54" s="9"/>
      <c r="M54" s="9"/>
      <c r="N54" s="9"/>
      <c r="O54" s="9"/>
      <c r="P54" s="9"/>
      <c r="Q54" s="9"/>
      <c r="R54" s="9"/>
      <c r="S54" s="9"/>
      <c r="T54" s="9"/>
      <c r="U54" s="10"/>
      <c r="V54" s="29"/>
      <c r="W54" s="9"/>
      <c r="X54" s="589" t="e">
        <f>J43</f>
        <v>#N/A</v>
      </c>
      <c r="Y54" s="589"/>
      <c r="Z54" s="590" t="e">
        <f>L43</f>
        <v>#N/A</v>
      </c>
      <c r="AA54" s="591"/>
      <c r="AB54" s="590" t="e">
        <f>J48</f>
        <v>#N/A</v>
      </c>
      <c r="AC54" s="591"/>
      <c r="AD54" s="589" t="e">
        <f>L48</f>
        <v>#N/A</v>
      </c>
      <c r="AE54" s="589"/>
      <c r="AF54" s="9"/>
      <c r="AG54" s="616" t="e">
        <f>O43</f>
        <v>#N/A</v>
      </c>
      <c r="AH54" s="616"/>
      <c r="AI54" s="590" t="e">
        <f>O48</f>
        <v>#N/A</v>
      </c>
      <c r="AJ54" s="616"/>
      <c r="AK54" s="159"/>
      <c r="AL54" s="602" t="str">
        <f>CONCATENATE("pH ",'CT Worksheet'!C18,", ",'CT Worksheet'!C16,'CT Worksheet'!D16)</f>
        <v xml:space="preserve">pH , </v>
      </c>
      <c r="AM54" s="602"/>
      <c r="AN54" s="602"/>
      <c r="AO54" s="10"/>
      <c r="AQ54" s="29"/>
      <c r="AR54" s="9"/>
      <c r="AS54" s="9"/>
      <c r="AT54" s="9"/>
      <c r="AU54" s="9"/>
      <c r="AV54" s="9"/>
      <c r="AW54" s="9"/>
      <c r="AX54" s="9"/>
      <c r="AY54" s="9"/>
      <c r="AZ54" s="9"/>
      <c r="BA54" s="9"/>
      <c r="BB54" s="9"/>
      <c r="BC54" s="9"/>
      <c r="BD54" s="9"/>
      <c r="BE54" s="9"/>
      <c r="BF54" s="10"/>
      <c r="BH54" s="29"/>
      <c r="BI54" s="9"/>
      <c r="BJ54" s="9"/>
      <c r="BK54" s="9"/>
      <c r="BL54" s="341" t="e">
        <f>CONCATENATE(VLOOKUP(BI50,ClOcTable,2,FALSE)," C")</f>
        <v>#N/A</v>
      </c>
      <c r="BM54" s="303" t="str">
        <f>IF(OR((F6=""),(BI49="")),"",HLOOKUP(BI49,ClOcTable,(BI50+2),FALSE))</f>
        <v/>
      </c>
      <c r="BN54" s="303" t="str">
        <f>IF(OR((F6=""),(BI48="")),"",HLOOKUP(BI48,ClOcTable,(BI50+2),FALSE))</f>
        <v/>
      </c>
      <c r="BO54" s="326"/>
      <c r="BP54" s="342" t="str">
        <f>IF(OR((BN54=""),(BM54="")),"",(BN54-((BN54-BM54)*BJ48)))</f>
        <v/>
      </c>
      <c r="BQ54" s="325"/>
      <c r="BR54" s="379"/>
      <c r="BS54" s="10"/>
      <c r="BT54" s="6"/>
      <c r="BU54" s="29"/>
      <c r="BV54" s="9"/>
      <c r="BW54" s="9"/>
      <c r="BX54" s="9"/>
      <c r="BY54" s="341" t="e">
        <f>CONCATENATE(VLOOKUP(BV50,O3cTable,2,FALSE)," C")</f>
        <v>#N/A</v>
      </c>
      <c r="BZ54" s="303" t="str">
        <f>IF(OR((F6=""),(BV49="")),"",HLOOKUP(BV49,O3cTable,(BV50+2),FALSE))</f>
        <v/>
      </c>
      <c r="CA54" s="303" t="str">
        <f>IF(OR((F6=""),(BV48="")),"",HLOOKUP(BV48,O3cTable,(BV50+2),FALSE))</f>
        <v/>
      </c>
      <c r="CB54" s="326"/>
      <c r="CC54" s="342" t="str">
        <f>IF(OR((CA54=""),(BZ54="")),"",(CA54-((CA54-BZ54)*BW48)))</f>
        <v/>
      </c>
      <c r="CD54" s="325"/>
      <c r="CE54" s="379"/>
      <c r="CF54" s="10"/>
      <c r="CH54" s="29"/>
      <c r="CI54" s="9"/>
      <c r="CJ54" s="9"/>
      <c r="CK54" s="9"/>
      <c r="CL54" s="9"/>
      <c r="CM54" s="9"/>
      <c r="CN54" s="9"/>
      <c r="CO54" s="9"/>
      <c r="CP54" s="9"/>
      <c r="CQ54" s="9"/>
      <c r="CR54" s="9"/>
      <c r="CS54" s="10"/>
      <c r="CU54" s="29"/>
      <c r="CV54" s="9"/>
      <c r="CW54" s="9"/>
      <c r="CX54" s="9"/>
      <c r="CY54" s="9"/>
      <c r="CZ54" s="9"/>
      <c r="DA54" s="9"/>
      <c r="DB54" s="9"/>
      <c r="DC54" s="9"/>
      <c r="DD54" s="9"/>
      <c r="DE54" s="9"/>
      <c r="DF54" s="9"/>
      <c r="DG54" s="9"/>
      <c r="DH54" s="9"/>
      <c r="DI54" s="9"/>
      <c r="DJ54" s="9"/>
      <c r="DK54" s="9"/>
      <c r="DL54" s="29"/>
      <c r="DM54" s="9"/>
      <c r="DN54" s="9"/>
      <c r="DO54" s="10"/>
    </row>
    <row r="55" spans="1:119" x14ac:dyDescent="0.2">
      <c r="A55" s="27"/>
      <c r="B55" s="4"/>
      <c r="C55" s="4" t="s">
        <v>50</v>
      </c>
      <c r="D55" s="4"/>
      <c r="E55" s="4"/>
      <c r="F55" s="158" t="s">
        <v>106</v>
      </c>
      <c r="G55" s="4" t="s">
        <v>485</v>
      </c>
      <c r="H55" s="4"/>
      <c r="I55" s="4"/>
      <c r="J55" s="571" t="s">
        <v>106</v>
      </c>
      <c r="K55" s="571"/>
      <c r="L55" s="571" t="s">
        <v>49</v>
      </c>
      <c r="M55" s="571"/>
      <c r="N55" s="4"/>
      <c r="O55" s="571" t="s">
        <v>56</v>
      </c>
      <c r="P55" s="571"/>
      <c r="Q55" s="158" t="s">
        <v>57</v>
      </c>
      <c r="R55" s="4"/>
      <c r="S55" s="4" t="s">
        <v>58</v>
      </c>
      <c r="T55" s="4" t="s">
        <v>59</v>
      </c>
      <c r="U55" s="5"/>
      <c r="V55" s="27"/>
      <c r="W55" s="4"/>
      <c r="X55" s="585" t="s">
        <v>458</v>
      </c>
      <c r="Y55" s="585"/>
      <c r="Z55" s="585"/>
      <c r="AA55" s="585"/>
      <c r="AB55" s="585"/>
      <c r="AC55" s="585"/>
      <c r="AD55" s="585"/>
      <c r="AE55" s="585"/>
      <c r="AF55" s="4"/>
      <c r="AG55" s="571" t="str">
        <f>O55</f>
        <v>Interpolate pH</v>
      </c>
      <c r="AH55" s="571"/>
      <c r="AI55" s="571"/>
      <c r="AJ55" s="571"/>
      <c r="AK55" s="4"/>
      <c r="AL55" s="571" t="s">
        <v>151</v>
      </c>
      <c r="AM55" s="571"/>
      <c r="AN55" s="4" t="s">
        <v>152</v>
      </c>
      <c r="AO55" s="5"/>
      <c r="AQ55" s="27"/>
      <c r="AR55" s="4"/>
      <c r="AS55" s="4"/>
      <c r="AT55" s="4"/>
      <c r="AU55" s="4"/>
      <c r="AV55" s="4"/>
      <c r="AW55" s="4"/>
      <c r="AX55" s="4"/>
      <c r="AY55" s="4"/>
      <c r="AZ55" s="4"/>
      <c r="BA55" s="4"/>
      <c r="BB55" s="4"/>
      <c r="BC55" s="4"/>
      <c r="BD55" s="4"/>
      <c r="BE55" s="4"/>
      <c r="BF55" s="5"/>
      <c r="BH55" s="232"/>
      <c r="BI55" s="160"/>
      <c r="BJ55" s="160"/>
      <c r="BK55" s="160"/>
      <c r="BL55" s="160"/>
      <c r="BM55" s="160"/>
      <c r="BN55" s="160"/>
      <c r="BO55" s="160"/>
      <c r="BP55" s="160"/>
      <c r="BQ55" s="160"/>
      <c r="BR55" s="160"/>
      <c r="BS55" s="233"/>
      <c r="BT55" s="12"/>
      <c r="BU55" s="232"/>
      <c r="BV55" s="160"/>
      <c r="BW55" s="160"/>
      <c r="BX55" s="160"/>
      <c r="BY55" s="160"/>
      <c r="BZ55" s="160"/>
      <c r="CA55" s="160"/>
      <c r="CB55" s="160"/>
      <c r="CC55" s="160"/>
      <c r="CD55" s="160"/>
      <c r="CE55" s="160"/>
      <c r="CF55" s="233"/>
      <c r="CG55" s="234"/>
      <c r="CH55" s="232"/>
      <c r="CI55" s="160"/>
      <c r="CJ55" s="160"/>
      <c r="CK55" s="160"/>
      <c r="CL55" s="160"/>
      <c r="CM55" s="160"/>
      <c r="CN55" s="160"/>
      <c r="CO55" s="160"/>
      <c r="CP55" s="160"/>
      <c r="CQ55" s="160"/>
      <c r="CR55" s="160"/>
      <c r="CS55" s="233"/>
      <c r="CU55" s="27"/>
      <c r="CV55" s="4"/>
      <c r="CW55" s="4" t="s">
        <v>50</v>
      </c>
      <c r="CX55" s="4"/>
      <c r="CY55" s="4"/>
      <c r="CZ55" s="412" t="s">
        <v>106</v>
      </c>
      <c r="DA55" s="406" t="s">
        <v>652</v>
      </c>
      <c r="DB55" s="4"/>
      <c r="DC55" s="4"/>
      <c r="DD55" s="571"/>
      <c r="DE55" s="571"/>
      <c r="DF55" s="571" t="s">
        <v>56</v>
      </c>
      <c r="DG55" s="571"/>
      <c r="DH55" s="412" t="s">
        <v>634</v>
      </c>
      <c r="DI55" s="411"/>
      <c r="DJ55" s="4" t="s">
        <v>58</v>
      </c>
      <c r="DK55" s="4"/>
      <c r="DL55" s="570" t="s">
        <v>662</v>
      </c>
      <c r="DM55" s="571"/>
      <c r="DN55" s="571"/>
      <c r="DO55" s="572"/>
    </row>
    <row r="56" spans="1:119" x14ac:dyDescent="0.2">
      <c r="A56" s="28" t="s">
        <v>446</v>
      </c>
      <c r="B56" s="43" t="str">
        <f>IF(OR(logGiardiaR="",'CT Worksheet'!B22&lt;&gt;"Cl2 (free)"),"",IF(logGiardiaR&lt;=0.5,1,IF(logGiardiaR&lt;=1,2,IF(logGiardiaR&lt;=1.5,3,IF(logGiardiaR&lt;=2,4,IF(logGiardiaR&lt;=2.5,5,6))))))</f>
        <v/>
      </c>
      <c r="C56" s="44">
        <f>IF(B56=2,((1-logGiardiaR)/0.5),IF(B56=3,((1.5-logGiardiaR)/0.5),IF(B56=4,((2-logGiardiaR)/0.5),IF(B56=5,((2.5-logGiardiaR)/0.5),IF(B56=6,((3-logGiardiaR)/0.5),IF(B57=0,(0.5-logGiardiaR)/0.5,0))))))</f>
        <v>0</v>
      </c>
      <c r="D56" s="6"/>
      <c r="E56" s="6"/>
      <c r="F56" s="47" t="str">
        <f>'CT Worksheet'!B20</f>
        <v>Segment 3</v>
      </c>
      <c r="G56" s="6"/>
      <c r="H56" s="6"/>
      <c r="I56" s="6"/>
      <c r="J56" s="47" t="str">
        <f>F56</f>
        <v>Segment 3</v>
      </c>
      <c r="K56" s="47"/>
      <c r="L56" s="48"/>
      <c r="M56" s="6"/>
      <c r="N56" s="22"/>
      <c r="O56" s="6"/>
      <c r="P56" s="6"/>
      <c r="Q56" s="6"/>
      <c r="R56" s="6"/>
      <c r="S56" s="6"/>
      <c r="T56" s="6"/>
      <c r="U56" s="7"/>
      <c r="V56" s="28"/>
      <c r="W56" s="6"/>
      <c r="X56" s="587" t="str">
        <f>J58</f>
        <v xml:space="preserve">CT Table </v>
      </c>
      <c r="Y56" s="603"/>
      <c r="Z56" s="587" t="str">
        <f>L58</f>
        <v xml:space="preserve">CT Table </v>
      </c>
      <c r="AA56" s="588"/>
      <c r="AB56" s="603" t="str">
        <f>J63</f>
        <v xml:space="preserve">CT Table </v>
      </c>
      <c r="AC56" s="603"/>
      <c r="AD56" s="587" t="str">
        <f>L63</f>
        <v xml:space="preserve">CT Table </v>
      </c>
      <c r="AE56" s="588"/>
      <c r="AF56" s="6"/>
      <c r="AG56" s="22"/>
      <c r="AH56" s="22"/>
      <c r="AI56" s="22"/>
      <c r="AJ56" s="22"/>
      <c r="AK56" s="22"/>
      <c r="AL56" s="22"/>
      <c r="AM56" s="22"/>
      <c r="AN56" s="6"/>
      <c r="AO56" s="7"/>
      <c r="AQ56" s="28"/>
      <c r="AR56" s="6"/>
      <c r="AS56" s="6"/>
      <c r="AT56" s="6"/>
      <c r="AU56" s="6"/>
      <c r="AV56" s="586" t="s">
        <v>488</v>
      </c>
      <c r="AW56" s="586"/>
      <c r="AX56" s="586"/>
      <c r="AY56" s="586"/>
      <c r="AZ56" s="6"/>
      <c r="BA56" s="6"/>
      <c r="BB56" s="6"/>
      <c r="BC56" s="6"/>
      <c r="BD56" s="6"/>
      <c r="BE56" s="6"/>
      <c r="BF56" s="7"/>
      <c r="BH56" s="235"/>
      <c r="BI56" s="12"/>
      <c r="BJ56" s="12"/>
      <c r="BK56" s="12"/>
      <c r="BL56" s="12"/>
      <c r="BM56" s="622" t="s">
        <v>527</v>
      </c>
      <c r="BN56" s="622"/>
      <c r="BO56" s="622"/>
      <c r="BP56" s="622"/>
      <c r="BQ56" s="12"/>
      <c r="BR56" s="12"/>
      <c r="BS56" s="236"/>
      <c r="BT56" s="12"/>
      <c r="BU56" s="235"/>
      <c r="BV56" s="12"/>
      <c r="BW56" s="12"/>
      <c r="BX56" s="12"/>
      <c r="BY56" s="12"/>
      <c r="BZ56" s="622" t="s">
        <v>526</v>
      </c>
      <c r="CA56" s="622"/>
      <c r="CB56" s="622"/>
      <c r="CC56" s="622"/>
      <c r="CD56" s="12"/>
      <c r="CE56" s="12"/>
      <c r="CF56" s="236"/>
      <c r="CG56" s="234"/>
      <c r="CH56" s="235"/>
      <c r="CI56" s="12"/>
      <c r="CJ56" s="12"/>
      <c r="CK56" s="12"/>
      <c r="CL56" s="12"/>
      <c r="CM56" s="622" t="s">
        <v>525</v>
      </c>
      <c r="CN56" s="622"/>
      <c r="CO56" s="622"/>
      <c r="CP56" s="622"/>
      <c r="CQ56" s="12"/>
      <c r="CR56" s="12"/>
      <c r="CS56" s="236"/>
      <c r="CU56" s="28" t="s">
        <v>446</v>
      </c>
      <c r="CV56" s="43" t="str">
        <f>IF(OR(MicrocystinR="",'CT Worksheet'!$B22&lt;&gt;"Cl2 (free)"),"",IF(MicrocystinR&lt;=10,1,IF(MicrocystinR&lt;=50,2,3)))</f>
        <v/>
      </c>
      <c r="CW56" s="190">
        <f>IF(CV56=2,((50-MicrocystinR)/40),IF(CV56=3,((100-MicrocystinR)/50),IF(CV57=0,(10-MicrocystinR)/10,0)))</f>
        <v>0</v>
      </c>
      <c r="CX56" s="6"/>
      <c r="CY56" s="6"/>
      <c r="CZ56" s="211">
        <f>'CT Worksheet'!Q20</f>
        <v>0</v>
      </c>
      <c r="DA56" s="12"/>
      <c r="DB56" s="12"/>
      <c r="DC56" s="12"/>
      <c r="DD56" s="564"/>
      <c r="DE56" s="564"/>
      <c r="DF56" s="6"/>
      <c r="DG56" s="6"/>
      <c r="DH56" s="22"/>
      <c r="DI56" s="6"/>
      <c r="DL56" s="28"/>
      <c r="DM56" s="6"/>
      <c r="DN56" s="6"/>
      <c r="DO56" s="7"/>
    </row>
    <row r="57" spans="1:119" ht="13.5" thickBot="1" x14ac:dyDescent="0.25">
      <c r="A57" s="28" t="s">
        <v>447</v>
      </c>
      <c r="B57" s="12" t="str">
        <f>IF(B56="","",IF(B56&gt;=2,B56-1,IF('CT Worksheet'!S3&lt;0.5,0,1)))</f>
        <v/>
      </c>
      <c r="C57" s="6"/>
      <c r="D57" s="6"/>
      <c r="E57" s="6"/>
      <c r="F57" s="22"/>
      <c r="G57" s="6"/>
      <c r="H57" s="6"/>
      <c r="I57" s="6"/>
      <c r="J57" s="39" t="e">
        <f>VLOOKUP(B57,[0]!Categories,2,FALSE)</f>
        <v>#N/A</v>
      </c>
      <c r="K57" s="39" t="e">
        <f>VLOOKUP(B56,[0]!Categories,2,FALSE)</f>
        <v>#N/A</v>
      </c>
      <c r="L57" s="38" t="e">
        <f>J57</f>
        <v>#N/A</v>
      </c>
      <c r="M57" s="39" t="e">
        <f>K57</f>
        <v>#N/A</v>
      </c>
      <c r="N57" s="6"/>
      <c r="O57" s="39" t="e">
        <f>J57</f>
        <v>#N/A</v>
      </c>
      <c r="P57" s="39" t="e">
        <f>K57</f>
        <v>#N/A</v>
      </c>
      <c r="Q57" s="24" t="str">
        <f>CONCATENATE(logGiardiaR,"-log")</f>
        <v>-log</v>
      </c>
      <c r="R57" s="6"/>
      <c r="S57" s="26" t="str">
        <f>CONCATENATE('CT Worksheet'!C21,'CT Worksheet'!D21)</f>
        <v/>
      </c>
      <c r="T57" s="26" t="str">
        <f>CONCATENATE('CT Worksheet'!C22,'CT Worksheet'!D22)</f>
        <v>mg/l</v>
      </c>
      <c r="U57" s="7"/>
      <c r="V57" s="28"/>
      <c r="W57" s="22" t="s">
        <v>150</v>
      </c>
      <c r="X57" s="49" t="e">
        <f>J57</f>
        <v>#N/A</v>
      </c>
      <c r="Y57" s="50" t="e">
        <f>K57</f>
        <v>#N/A</v>
      </c>
      <c r="Z57" s="49" t="e">
        <f>L57</f>
        <v>#N/A</v>
      </c>
      <c r="AA57" s="51" t="e">
        <f>M57</f>
        <v>#N/A</v>
      </c>
      <c r="AB57" s="50" t="e">
        <f>J57</f>
        <v>#N/A</v>
      </c>
      <c r="AC57" s="50" t="e">
        <f>K57</f>
        <v>#N/A</v>
      </c>
      <c r="AD57" s="49" t="e">
        <f>L57</f>
        <v>#N/A</v>
      </c>
      <c r="AE57" s="51" t="e">
        <f>M57</f>
        <v>#N/A</v>
      </c>
      <c r="AF57" s="6"/>
      <c r="AG57" s="81" t="e">
        <f>X57</f>
        <v>#N/A</v>
      </c>
      <c r="AH57" s="22" t="e">
        <f>Y57</f>
        <v>#N/A</v>
      </c>
      <c r="AI57" s="22" t="e">
        <f>AB57</f>
        <v>#N/A</v>
      </c>
      <c r="AJ57" s="22" t="e">
        <f>AE57</f>
        <v>#N/A</v>
      </c>
      <c r="AK57" s="22"/>
      <c r="AL57" s="22" t="e">
        <f>AG57</f>
        <v>#N/A</v>
      </c>
      <c r="AM57" s="22" t="e">
        <f>AH57</f>
        <v>#N/A</v>
      </c>
      <c r="AN57" s="26" t="str">
        <f>Q57</f>
        <v>-log</v>
      </c>
      <c r="AO57" s="7"/>
      <c r="AQ57" s="28"/>
      <c r="AR57" s="6"/>
      <c r="AS57" s="6" t="s">
        <v>50</v>
      </c>
      <c r="AT57" s="6"/>
      <c r="AU57" s="6"/>
      <c r="AV57" s="569" t="str">
        <f>F56</f>
        <v>Segment 3</v>
      </c>
      <c r="AW57" s="569"/>
      <c r="AX57" s="569"/>
      <c r="AY57" s="569"/>
      <c r="AZ57" s="6"/>
      <c r="BA57" s="586" t="s">
        <v>56</v>
      </c>
      <c r="BB57" s="586"/>
      <c r="BC57" s="22" t="s">
        <v>57</v>
      </c>
      <c r="BD57" s="6"/>
      <c r="BE57" s="22" t="s">
        <v>58</v>
      </c>
      <c r="BF57" s="7"/>
      <c r="BH57" s="235"/>
      <c r="BI57" s="12"/>
      <c r="BJ57" s="12" t="s">
        <v>50</v>
      </c>
      <c r="BK57" s="12"/>
      <c r="BL57" s="12"/>
      <c r="BM57" s="564" t="str">
        <f>F56</f>
        <v>Segment 3</v>
      </c>
      <c r="BN57" s="564"/>
      <c r="BO57" s="564"/>
      <c r="BP57" s="564"/>
      <c r="BQ57" s="12"/>
      <c r="BR57" s="12"/>
      <c r="BS57" s="236"/>
      <c r="BT57" s="81"/>
      <c r="BU57" s="235"/>
      <c r="BV57" s="12"/>
      <c r="BW57" s="12" t="s">
        <v>50</v>
      </c>
      <c r="BX57" s="12"/>
      <c r="BY57" s="12"/>
      <c r="BZ57" s="564" t="str">
        <f>F56</f>
        <v>Segment 3</v>
      </c>
      <c r="CA57" s="564"/>
      <c r="CB57" s="564"/>
      <c r="CC57" s="564"/>
      <c r="CD57" s="12"/>
      <c r="CE57" s="12"/>
      <c r="CF57" s="236"/>
      <c r="CG57" s="234"/>
      <c r="CH57" s="235"/>
      <c r="CI57" s="12"/>
      <c r="CJ57" s="12" t="s">
        <v>50</v>
      </c>
      <c r="CK57" s="12"/>
      <c r="CL57" s="12"/>
      <c r="CM57" s="564" t="str">
        <f>F56</f>
        <v>Segment 3</v>
      </c>
      <c r="CN57" s="564"/>
      <c r="CO57" s="564"/>
      <c r="CP57" s="564"/>
      <c r="CQ57" s="12"/>
      <c r="CR57" s="12"/>
      <c r="CS57" s="236"/>
      <c r="CU57" s="28" t="s">
        <v>447</v>
      </c>
      <c r="CV57" s="12" t="str">
        <f>IF(CV56="","",IF(MicrocystinR&lt;10,0,IF(CV56&gt;2,CV56-1,1)))</f>
        <v/>
      </c>
      <c r="CW57" s="12"/>
      <c r="CX57" s="6"/>
      <c r="CY57" s="6"/>
      <c r="CZ57" s="22"/>
      <c r="DA57" s="6"/>
      <c r="DB57" s="12"/>
      <c r="DC57" s="12"/>
      <c r="DD57" s="143"/>
      <c r="DE57" s="143"/>
      <c r="DF57" s="143"/>
      <c r="DG57" s="143"/>
      <c r="DH57" s="12"/>
      <c r="DI57" s="143"/>
      <c r="DJ57" s="143"/>
      <c r="DK57" s="211"/>
      <c r="DL57" s="235"/>
      <c r="DM57" s="211"/>
      <c r="DN57" s="409"/>
      <c r="DO57" s="7"/>
    </row>
    <row r="58" spans="1:119" ht="13.5" thickBot="1" x14ac:dyDescent="0.25">
      <c r="A58" s="28" t="s">
        <v>87</v>
      </c>
      <c r="B58" s="6" t="str">
        <f>IF(pH_3="","",IF(pH_3&lt;=6,1,IF(pH_3&lt;=6.5,2,IF(pH_3&lt;=7,3,IF(pH_3&lt;=7.5,4,IF(pH_3&lt;=8,5,IF(pH_3&lt;=8.5,6,IF(pH_3&lt;=9,7,8))))))))</f>
        <v/>
      </c>
      <c r="C58" s="44">
        <f>IF(B58=2,((6.5-pH_3)/0.5),IF(B58=3,((7-pH_3)/0.5),IF(B58=4,((7.5-pH_3)/0.5),IF(B58=5,((8-pH_3)/0.5),IF(B58=6,((8.5-pH_3)/0.5),IF(B58=7,((9-pH_3)/0.5),0))))))</f>
        <v>0</v>
      </c>
      <c r="D58" s="6"/>
      <c r="E58" s="6"/>
      <c r="F58" s="22"/>
      <c r="G58" s="6"/>
      <c r="H58" s="6"/>
      <c r="I58" s="6"/>
      <c r="J58" s="608" t="str">
        <f>CONCATENATE("CT Table ",F67)</f>
        <v xml:space="preserve">CT Table </v>
      </c>
      <c r="K58" s="609"/>
      <c r="L58" s="614" t="str">
        <f>CONCATENATE("CT Table ",F68)</f>
        <v xml:space="preserve">CT Table </v>
      </c>
      <c r="M58" s="615"/>
      <c r="N58" s="6"/>
      <c r="O58" s="6"/>
      <c r="P58" s="6"/>
      <c r="Q58" s="6"/>
      <c r="R58" s="6"/>
      <c r="S58" s="6"/>
      <c r="T58" s="6"/>
      <c r="U58" s="7"/>
      <c r="V58" s="28"/>
      <c r="W58" s="57">
        <v>0.4</v>
      </c>
      <c r="X58" s="75" t="str">
        <f>IF(E67="","",HLOOKUP(E67,CTtable,2,FALSE))</f>
        <v/>
      </c>
      <c r="Y58" s="22" t="str">
        <f>IF(D67="","",HLOOKUP(D67,CTtable,2,FALSE))</f>
        <v/>
      </c>
      <c r="Z58" s="75" t="str">
        <f>IF(E68="","",HLOOKUP(E68,CTtable,2,FALSE))</f>
        <v/>
      </c>
      <c r="AA58" s="73" t="str">
        <f>IF(D68="","",HLOOKUP(D68,CTtable,2,FALSE))</f>
        <v/>
      </c>
      <c r="AB58" s="75" t="str">
        <f>IF(E69="","",HLOOKUP(E69,CTtable,2,FALSE))</f>
        <v/>
      </c>
      <c r="AC58" s="22" t="str">
        <f>IF(D69="","",HLOOKUP(D69,CTtable,2,FALSE))</f>
        <v/>
      </c>
      <c r="AD58" s="75" t="str">
        <f>IF(E70="","",HLOOKUP(E70,CTtable,2,FALSE))</f>
        <v/>
      </c>
      <c r="AE58" s="73" t="str">
        <f>IF($D$70="","",HLOOKUP($D$70,CTtable,2,FALSE))</f>
        <v/>
      </c>
      <c r="AF58" s="6"/>
      <c r="AG58" s="63" t="str">
        <f t="shared" ref="AG58:AG71" si="23">IF(OR(X58="",Z58=""),"",Z58-((Z58-X58)*pH3fraction))</f>
        <v/>
      </c>
      <c r="AH58" s="77" t="str">
        <f t="shared" ref="AH58:AH71" si="24">IF(OR(Y58="",AA58=""),"",AA58-((AA58-Y58)*pH3fraction))</f>
        <v/>
      </c>
      <c r="AI58" s="63" t="str">
        <f t="shared" ref="AI58:AI71" si="25">IF(OR(AB58="",AD58=""),"",AD58-((AD58-AB58)*pH3fraction))</f>
        <v/>
      </c>
      <c r="AJ58" s="77" t="str">
        <f t="shared" ref="AJ58:AJ71" si="26">IF(OR(AC58="",AE58=""),"",AE58-((AE58-AC58)*pH3fraction))</f>
        <v/>
      </c>
      <c r="AK58" s="22"/>
      <c r="AL58" s="98" t="str">
        <f>IF(OR(AG58="",AI58=""),"",AI58-((AI58-AG58)*Temp3fraction))</f>
        <v/>
      </c>
      <c r="AM58" s="92" t="str">
        <f>IF(OR(AH58="",AJ58=""),"",AJ58-((AJ58-AH58)*Temp3fraction))</f>
        <v/>
      </c>
      <c r="AN58" s="94" t="str">
        <f>IF(OR(AL58="",AM58=""),"",AM58-((AM58-AL58)*logIfraction))</f>
        <v/>
      </c>
      <c r="AO58" s="7"/>
      <c r="AQ58" s="28" t="s">
        <v>460</v>
      </c>
      <c r="AR58" s="6" t="str">
        <f>IF(OR(logVirusR="",'CT Worksheet'!B22&lt;&gt;"Cl2 (free)"),"",IF(logVirusR&lt;=2,1,IF(logVirusR&lt;=3,2,IF(logVirusR&lt;=4,3,4))))</f>
        <v/>
      </c>
      <c r="AS58" s="190">
        <f>IF(AR58=2,(3-logVirusR)/1,IF(AR58=3,(4-logVirusR)/1,IF(AR59=0,(2-logVirusR)/2,0)))</f>
        <v>0</v>
      </c>
      <c r="AT58" s="6"/>
      <c r="AU58" s="6"/>
      <c r="AV58" s="6"/>
      <c r="AW58" s="6"/>
      <c r="AX58" s="6"/>
      <c r="AY58" s="6"/>
      <c r="AZ58" s="6"/>
      <c r="BA58" s="6"/>
      <c r="BB58" s="6"/>
      <c r="BC58" s="6"/>
      <c r="BD58" s="6"/>
      <c r="BE58" s="6"/>
      <c r="BF58" s="7"/>
      <c r="BH58" s="235" t="s">
        <v>493</v>
      </c>
      <c r="BI58" s="237" t="str">
        <f>IF(OR(logGiardiaR="",'CT Worksheet'!B22&lt;&gt;"Chlorine Dioxide"),"",IF(logGiardiaR&lt;=0.5,1,IF(logGiardiaR&lt;=1,2,IF(logGiardiaR&lt;=1.5,3,IF(logGiardiaR&lt;=2,4,IF(logGiardiaR&lt;=2.5,5,6))))))</f>
        <v/>
      </c>
      <c r="BJ58" s="190">
        <f>IF(BI58=2,((1-logGiardiaR)/0.5),IF(BI58=3,((1.5-logGiardiaR)/0.5),IF(BI58=4,((2-logGiardiaR)/0.5),IF(BI58=5,((2.5-logGiardiaR)/0.5),IF(BI58=6,((3-logGiardiaR)/0.5),IF(BI59=0,(0.5-logGiardiaR)/0.5,0))))))</f>
        <v>0</v>
      </c>
      <c r="BK58" s="12"/>
      <c r="BL58" s="12"/>
      <c r="BM58" s="12"/>
      <c r="BN58" s="12"/>
      <c r="BO58" s="12"/>
      <c r="BP58" s="622" t="s">
        <v>498</v>
      </c>
      <c r="BQ58" s="622"/>
      <c r="BR58" s="622"/>
      <c r="BS58" s="238"/>
      <c r="BT58" s="12"/>
      <c r="BU58" s="235" t="s">
        <v>504</v>
      </c>
      <c r="BV58" s="237" t="str">
        <f>IF(OR(logGiardiaR="",'CT Worksheet'!B22&lt;&gt;"Ozone"),"",IF(logGiardiaR&lt;=0.5,1,IF(logGiardiaR&lt;=1,2,IF(logGiardiaR&lt;=1.5,3,IF(logGiardiaR&lt;=2,4,IF(logGiardiaR&lt;=2.5,5,6))))))</f>
        <v/>
      </c>
      <c r="BW58" s="190">
        <f>IF(BV58=2,((1-logGiardiaR)/0.5),IF(BV58=3,((1.5-logGiardiaR)/0.5),IF(BV58=4,((2-logGiardiaR)/0.5),IF(BV58=5,((2.5-logGiardiaR)/0.5),IF(BV58=6,((3-logGiardiaR)/0.5),IF(BV59=0,(0.5-logGiardiaR)/0.5,0))))))</f>
        <v>0</v>
      </c>
      <c r="BX58" s="12"/>
      <c r="BY58" s="12"/>
      <c r="BZ58" s="12"/>
      <c r="CA58" s="12"/>
      <c r="CB58" s="12"/>
      <c r="CC58" s="622" t="s">
        <v>498</v>
      </c>
      <c r="CD58" s="622"/>
      <c r="CE58" s="622"/>
      <c r="CF58" s="238"/>
      <c r="CG58" s="234"/>
      <c r="CH58" s="235" t="s">
        <v>508</v>
      </c>
      <c r="CI58" s="237" t="str">
        <f>IF(OR(logGiardiaR="",'CT Worksheet'!B22&lt;&gt;"Chloramine"),"",IF(logGiardiaR&lt;=0.5,1,IF(logGiardiaR&lt;=1,2,IF(logGiardiaR&lt;=1.5,3,IF(logGiardiaR&lt;=2,4,IF(logGiardiaR&lt;=2.5,5,6))))))</f>
        <v/>
      </c>
      <c r="CJ58" s="190">
        <f>IF(CI58=2,((1-logGiardiaR)/0.5),IF(CI58=3,((1.5-logGiardiaR)/0.5),IF(CI58=4,((2-logGiardiaR)/0.5),IF(CI58=5,((2.5-logGiardiaR)/0.5),IF(CI58=6,((3-logGiardiaR)/0.5),IF(CI59=0,(0.5-logGiardiaR)/0.5,0))))))</f>
        <v>0</v>
      </c>
      <c r="CK58" s="12"/>
      <c r="CL58" s="12"/>
      <c r="CM58" s="12"/>
      <c r="CN58" s="12"/>
      <c r="CO58" s="12"/>
      <c r="CP58" s="622" t="s">
        <v>498</v>
      </c>
      <c r="CQ58" s="622"/>
      <c r="CR58" s="622"/>
      <c r="CS58" s="238"/>
      <c r="CU58" s="28" t="s">
        <v>69</v>
      </c>
      <c r="CV58" s="6" t="str">
        <f>IF(pH_3="","",IF(pH_3&lt;=6,1,IF(pH_3&lt;=7,2,IF(pH_3&lt;=8,3,IF(pH_3&lt;=9,4,0)))))</f>
        <v/>
      </c>
      <c r="CW58" s="190">
        <f>IF(CV58=2,((7-pH_3)/1),IF(CV58=3,((8-pH_3)/1),IF(CV58=4,((9-pH_3)/1),0)))</f>
        <v>0</v>
      </c>
      <c r="CX58" s="6"/>
      <c r="CY58" s="6"/>
      <c r="CZ58" s="6"/>
      <c r="DA58" s="565" t="s">
        <v>443</v>
      </c>
      <c r="DB58" s="565"/>
      <c r="DC58" s="565"/>
      <c r="DD58" s="565"/>
      <c r="DE58" s="6"/>
      <c r="DF58" s="6"/>
      <c r="DG58" s="6"/>
      <c r="DH58" s="6"/>
      <c r="DI58" s="6"/>
      <c r="DJ58" s="6"/>
      <c r="DK58" s="241"/>
      <c r="DL58" s="440"/>
      <c r="DM58" s="410" t="s">
        <v>660</v>
      </c>
      <c r="DN58" s="441" t="str">
        <f>IF(AND('CT Worksheet'!B22="Ozone",F8&lt;&gt;""),1,"")</f>
        <v/>
      </c>
      <c r="DO58" s="7"/>
    </row>
    <row r="59" spans="1:119" ht="13.5" thickBot="1" x14ac:dyDescent="0.25">
      <c r="A59" s="28" t="s">
        <v>88</v>
      </c>
      <c r="B59" s="6" t="str">
        <f>IF(B58="","",IF(B58&gt;=2,B58-1,1))</f>
        <v/>
      </c>
      <c r="C59" s="6"/>
      <c r="D59" s="6"/>
      <c r="E59" s="6"/>
      <c r="F59" s="22"/>
      <c r="G59" s="6"/>
      <c r="H59" s="6"/>
      <c r="I59" s="45" t="e">
        <f>CONCATENATE(VLOOKUP(B63,CL2Category,2,FALSE)," mg/l")</f>
        <v>#N/A</v>
      </c>
      <c r="J59" s="61" t="str">
        <f>IF(OR(F8="",E67=""),"",HLOOKUP(E67,CTtable,B63+1,FALSE))</f>
        <v/>
      </c>
      <c r="K59" s="42" t="str">
        <f>IF(OR(F8="",D67=""),"",HLOOKUP(D67,CTtable,B63+1,FALSE))</f>
        <v/>
      </c>
      <c r="L59" s="62" t="str">
        <f>IF(OR(F8="",E68=""),"",HLOOKUP(E68,CTtable,B63+1,FALSE))</f>
        <v/>
      </c>
      <c r="M59" s="72" t="str">
        <f>IF(OR(F8="",D68=""),"",HLOOKUP(D68,CTtable,B63+1,FALSE))</f>
        <v/>
      </c>
      <c r="N59" s="22"/>
      <c r="O59" s="63" t="str">
        <f>IF(OR(J59="",L59=""),"",L59-((L59-J59)*C58))</f>
        <v/>
      </c>
      <c r="P59" s="64" t="str">
        <f>IF(OR(M59="",M59=""),"",M59-((M59-K59)*C58))</f>
        <v/>
      </c>
      <c r="Q59" s="65" t="str">
        <f>IF(OR(P59="",O59=""),"",P59-((P59-O59)*C56))</f>
        <v/>
      </c>
      <c r="R59" s="22"/>
      <c r="S59" s="65" t="str">
        <f>IF(OR(Q64="",Q59=""),"",Q64-((Q64-Q59)*C60))</f>
        <v/>
      </c>
      <c r="T59" s="66" t="str">
        <f>IF(OR(S60="",S59=""),"",S60-((S60-S59)*C62))</f>
        <v/>
      </c>
      <c r="U59" s="7"/>
      <c r="V59" s="28"/>
      <c r="W59" s="58">
        <v>0.6</v>
      </c>
      <c r="X59" s="75" t="str">
        <f>IF(E67="","",HLOOKUP(E67,CTtable,3,FALSE))</f>
        <v/>
      </c>
      <c r="Y59" s="22" t="str">
        <f>IF(D67="","",HLOOKUP(D67,CTtable,3,FALSE))</f>
        <v/>
      </c>
      <c r="Z59" s="75" t="str">
        <f>IF(E68="","",HLOOKUP(E68,CTtable,3,FALSE))</f>
        <v/>
      </c>
      <c r="AA59" s="73" t="str">
        <f>IF(D68="","",HLOOKUP(D68,CTtable,3,FALSE))</f>
        <v/>
      </c>
      <c r="AB59" s="75" t="str">
        <f>IF(E69="","",HLOOKUP(E69,CTtable,3,FALSE))</f>
        <v/>
      </c>
      <c r="AC59" s="22" t="str">
        <f>IF(D69="","",HLOOKUP(D69,CTtable,3,FALSE))</f>
        <v/>
      </c>
      <c r="AD59" s="75" t="str">
        <f>IF(E70="","",HLOOKUP(E70,CTtable,3,FALSE))</f>
        <v/>
      </c>
      <c r="AE59" s="73" t="str">
        <f>IF($D$70="","",HLOOKUP($D$70,CTtable,3,FALSE))</f>
        <v/>
      </c>
      <c r="AF59" s="6"/>
      <c r="AG59" s="78" t="str">
        <f t="shared" si="23"/>
        <v/>
      </c>
      <c r="AH59" s="79" t="str">
        <f t="shared" si="24"/>
        <v/>
      </c>
      <c r="AI59" s="78" t="str">
        <f t="shared" si="25"/>
        <v/>
      </c>
      <c r="AJ59" s="79" t="str">
        <f t="shared" si="26"/>
        <v/>
      </c>
      <c r="AK59" s="22"/>
      <c r="AL59" s="100" t="str">
        <f t="shared" ref="AL59:AL71" si="27">IF(OR(AG59="",AI59=""),"",AI59-((AI59-AG59)*Temp3fraction))</f>
        <v/>
      </c>
      <c r="AM59" s="108" t="str">
        <f t="shared" ref="AM59:AM71" si="28">IF(OR(AH59="",AJ59=""),"",AJ59-((AJ59-AH59)*Temp3fraction))</f>
        <v/>
      </c>
      <c r="AN59" s="95" t="str">
        <f t="shared" ref="AN59:AN71" si="29">IF(OR(AL59="",AM59=""),"",AM59-((AM59-AL59)*logIfraction))</f>
        <v/>
      </c>
      <c r="AO59" s="7"/>
      <c r="AQ59" s="28" t="s">
        <v>461</v>
      </c>
      <c r="AR59" s="6" t="str">
        <f>IF(AR58="","",IF(AR58&gt;=2,AR58-1,IF(logVirusR&lt;2,0,1)))</f>
        <v/>
      </c>
      <c r="AS59" s="6"/>
      <c r="AT59" s="6"/>
      <c r="AU59" s="6"/>
      <c r="AV59" s="565" t="s">
        <v>443</v>
      </c>
      <c r="AW59" s="565"/>
      <c r="AX59" s="565"/>
      <c r="AY59" s="565"/>
      <c r="AZ59" s="6"/>
      <c r="BA59" s="6"/>
      <c r="BB59" s="6"/>
      <c r="BC59" s="6"/>
      <c r="BD59" s="6"/>
      <c r="BE59" s="6"/>
      <c r="BF59" s="7"/>
      <c r="BH59" s="235" t="s">
        <v>494</v>
      </c>
      <c r="BI59" s="239" t="str">
        <f>IF(BI58="","",IF(BI58&gt;=2,BI58-1,IF(logGiardiaR&lt;0.5,0,1)))</f>
        <v/>
      </c>
      <c r="BJ59" s="12"/>
      <c r="BK59" s="12"/>
      <c r="BL59" s="12"/>
      <c r="BM59" s="619" t="s">
        <v>495</v>
      </c>
      <c r="BN59" s="619"/>
      <c r="BO59" s="240"/>
      <c r="BP59" s="241" t="s">
        <v>497</v>
      </c>
      <c r="BQ59" s="241"/>
      <c r="BR59" s="81" t="s">
        <v>58</v>
      </c>
      <c r="BS59" s="236"/>
      <c r="BT59" s="12"/>
      <c r="BU59" s="235" t="s">
        <v>505</v>
      </c>
      <c r="BV59" s="239" t="str">
        <f>IF(BV58="","",IF(BV58&gt;=2,BV58-1,IF(logGiardiaR&lt;0.5,0,1)))</f>
        <v/>
      </c>
      <c r="BW59" s="12"/>
      <c r="BX59" s="12"/>
      <c r="BY59" s="12"/>
      <c r="BZ59" s="619" t="s">
        <v>495</v>
      </c>
      <c r="CA59" s="619"/>
      <c r="CB59" s="240"/>
      <c r="CC59" s="241" t="s">
        <v>497</v>
      </c>
      <c r="CD59" s="241"/>
      <c r="CE59" s="81" t="s">
        <v>58</v>
      </c>
      <c r="CF59" s="236"/>
      <c r="CG59" s="234"/>
      <c r="CH59" s="235" t="s">
        <v>522</v>
      </c>
      <c r="CI59" s="239" t="str">
        <f>IF(CI58="","",IF(CI58&gt;=2,CI58-1,IF(logGiardiaR&lt;0.5,0,1)))</f>
        <v/>
      </c>
      <c r="CJ59" s="12"/>
      <c r="CK59" s="12"/>
      <c r="CL59" s="12"/>
      <c r="CM59" s="619" t="s">
        <v>495</v>
      </c>
      <c r="CN59" s="619"/>
      <c r="CO59" s="240"/>
      <c r="CP59" s="241" t="s">
        <v>497</v>
      </c>
      <c r="CQ59" s="241"/>
      <c r="CR59" s="81" t="s">
        <v>58</v>
      </c>
      <c r="CS59" s="236"/>
      <c r="CU59" s="28" t="s">
        <v>74</v>
      </c>
      <c r="CV59" s="12" t="str">
        <f>IF(CV58="","",IF(CV58=0,0,IF(CV58&gt;=2,CV58-1,1)))</f>
        <v/>
      </c>
      <c r="CW59" s="12"/>
      <c r="CX59" s="6"/>
      <c r="CY59" s="6"/>
      <c r="CZ59" s="6"/>
      <c r="DA59" s="22" t="e">
        <f>CONCATENATE(HLOOKUP(CX67,MicrocystinTable,2,FALSE)," ",'CT Tables'!$B$161)</f>
        <v>#N/A</v>
      </c>
      <c r="DB59" s="67" t="e">
        <f>CONCATENATE(HLOOKUP(CW67,MicrocystinTable,2,FALSE)," ",'CT Tables'!$B$161)</f>
        <v>#N/A</v>
      </c>
      <c r="DC59" s="60" t="e">
        <f>CONCATENATE(HLOOKUP(CX68,MicrocystinTable,2,FALSE)," ",'CT Tables'!$B$161)</f>
        <v>#N/A</v>
      </c>
      <c r="DD59" s="67" t="e">
        <f>CONCATENATE(HLOOKUP(CW68,MicrocystinTable,2,FALSE)," ",'CT Tables'!$B$161)</f>
        <v>#N/A</v>
      </c>
      <c r="DE59" s="6"/>
      <c r="DF59" s="22" t="e">
        <f>DA59</f>
        <v>#N/A</v>
      </c>
      <c r="DG59" s="22" t="e">
        <f>DB59</f>
        <v>#N/A</v>
      </c>
      <c r="DH59" s="24" t="str">
        <f>CONCATENATE(MicrocystinR," ug/l")</f>
        <v xml:space="preserve"> ug/l</v>
      </c>
      <c r="DI59" s="6"/>
      <c r="DJ59" s="24" t="str">
        <f>CONCATENATE('CT Worksheet'!C21,'CT Worksheet'!D21)</f>
        <v/>
      </c>
      <c r="DK59" s="241"/>
      <c r="DL59" s="440"/>
      <c r="DM59" s="241"/>
      <c r="DN59" s="241"/>
      <c r="DO59" s="7"/>
    </row>
    <row r="60" spans="1:119" ht="13.5" thickBot="1" x14ac:dyDescent="0.25">
      <c r="A60" s="28" t="s">
        <v>84</v>
      </c>
      <c r="B60" s="6" t="str">
        <f>IF(Temp3="","",IF(Temp3&lt;=0,"",IF(Temp3&lt;=0.5,1,IF(Temp3&lt;=5,2,IF(Temp3&lt;=10,3,IF(Temp3&lt;=15,4,IF(Temp3&lt;=20,5,6)))))))</f>
        <v/>
      </c>
      <c r="C60" s="44">
        <f>IF(B61=6,0,IF(B60=2,((5-Temp3)/4.5),IF(B60=3,((10-Temp3)/5),IF(B60=4,((15-Temp3)/5),IF(B60=5,((20-Temp3)/5),IF(B60=6,((25-Temp3)/5),0))))))</f>
        <v>0</v>
      </c>
      <c r="D60" s="6"/>
      <c r="E60" s="6"/>
      <c r="F60" s="22"/>
      <c r="G60" s="6"/>
      <c r="H60" s="6"/>
      <c r="I60" s="45" t="e">
        <f>CONCATENATE(VLOOKUP(B62,CL2Category,2,FALSE)," mg/l")</f>
        <v>#N/A</v>
      </c>
      <c r="J60" s="67" t="str">
        <f>IF(OR(F8="",E67=""),"",HLOOKUP(E67,CTtable,IF(B62=15,B62,B62+1),FALSE))</f>
        <v/>
      </c>
      <c r="K60" s="59" t="str">
        <f>IF(OR(F8="",D67=""),"",HLOOKUP(D67,CTtable,IF(B62=15,B62,B62+1),FALSE))</f>
        <v/>
      </c>
      <c r="L60" s="68" t="str">
        <f>IF(OR(F8="",E68=""),"",HLOOKUP(E68,CTtable,IF(B62=15,B62,B62+1),FALSE))</f>
        <v/>
      </c>
      <c r="M60" s="74" t="str">
        <f>IF(OR(F8="",D68=""),"",HLOOKUP(D68,CTtable,IF(B62=15,B62,B62+1),FALSE))</f>
        <v/>
      </c>
      <c r="N60" s="22"/>
      <c r="O60" s="69" t="str">
        <f>IF(OR(J60="",L60=""),"",L60-((L60-J60)*C58))</f>
        <v/>
      </c>
      <c r="P60" s="70" t="str">
        <f>IF(OR(M60="",M60=""),"",M60-((M60-K60)*C58))</f>
        <v/>
      </c>
      <c r="Q60" s="71" t="str">
        <f>IF(OR(P60="",O60=""),"",P60-((P60-O60)*C56))</f>
        <v/>
      </c>
      <c r="R60" s="22"/>
      <c r="S60" s="71" t="str">
        <f>IF(OR(Q65="",Q60=""),"",Q65-((Q65-Q60)*C60))</f>
        <v/>
      </c>
      <c r="T60" s="22"/>
      <c r="U60" s="7"/>
      <c r="V60" s="28"/>
      <c r="W60" s="58">
        <v>0.8</v>
      </c>
      <c r="X60" s="75" t="str">
        <f>IF(E67="","",HLOOKUP(E67,CTtable,4,FALSE))</f>
        <v/>
      </c>
      <c r="Y60" s="22" t="str">
        <f>IF(D67="","",HLOOKUP(D67,CTtable,4,FALSE))</f>
        <v/>
      </c>
      <c r="Z60" s="75" t="str">
        <f>IF(E68="","",HLOOKUP(E68,CTtable,4,FALSE))</f>
        <v/>
      </c>
      <c r="AA60" s="73" t="str">
        <f>IF(D68="","",HLOOKUP(D68,CTtable,4,FALSE))</f>
        <v/>
      </c>
      <c r="AB60" s="75" t="str">
        <f>IF(E69="","",HLOOKUP(E69,CTtable,4,FALSE))</f>
        <v/>
      </c>
      <c r="AC60" s="22" t="str">
        <f>IF(D69="","",HLOOKUP(D69,CTtable,4,FALSE))</f>
        <v/>
      </c>
      <c r="AD60" s="75" t="str">
        <f>IF(E70="","",HLOOKUP(E70,CTtable,4,FALSE))</f>
        <v/>
      </c>
      <c r="AE60" s="73" t="str">
        <f>IF($D$70="","",HLOOKUP($D$70,CTtable,4,FALSE))</f>
        <v/>
      </c>
      <c r="AF60" s="6"/>
      <c r="AG60" s="78" t="str">
        <f t="shared" si="23"/>
        <v/>
      </c>
      <c r="AH60" s="79" t="str">
        <f t="shared" si="24"/>
        <v/>
      </c>
      <c r="AI60" s="78" t="str">
        <f t="shared" si="25"/>
        <v/>
      </c>
      <c r="AJ60" s="79" t="str">
        <f t="shared" si="26"/>
        <v/>
      </c>
      <c r="AK60" s="22"/>
      <c r="AL60" s="100" t="str">
        <f t="shared" si="27"/>
        <v/>
      </c>
      <c r="AM60" s="108" t="str">
        <f t="shared" si="28"/>
        <v/>
      </c>
      <c r="AN60" s="95" t="str">
        <f t="shared" si="29"/>
        <v/>
      </c>
      <c r="AO60" s="7"/>
      <c r="AQ60" s="28" t="s">
        <v>515</v>
      </c>
      <c r="AR60" s="6" t="str">
        <f>IF(pH_3="","",IF(pH_3&lt;=9,1,IF(pH_3&lt;=10,2,3)))</f>
        <v/>
      </c>
      <c r="AS60" s="44">
        <f>IF(AR60=2,((10-pH_3)/1),0)</f>
        <v>0</v>
      </c>
      <c r="AT60" s="6"/>
      <c r="AU60" s="6"/>
      <c r="AV60" s="22" t="e">
        <f>HLOOKUP(AT66,VirusCTtable,2,FALSE)</f>
        <v>#N/A</v>
      </c>
      <c r="AW60" s="67" t="e">
        <f>HLOOKUP(AS66,VirusCTtable,2,FALSE)</f>
        <v>#N/A</v>
      </c>
      <c r="AX60" s="60" t="e">
        <f>HLOOKUP(AT67,VirusCTtable,2,FALSE)</f>
        <v>#N/A</v>
      </c>
      <c r="AY60" s="67" t="e">
        <f>HLOOKUP(AS67,VirusCTtable,2,FALSE)</f>
        <v>#N/A</v>
      </c>
      <c r="AZ60" s="6"/>
      <c r="BA60" s="22" t="e">
        <f>AV60</f>
        <v>#N/A</v>
      </c>
      <c r="BB60" s="22" t="e">
        <f>AW60</f>
        <v>#N/A</v>
      </c>
      <c r="BC60" s="24" t="str">
        <f>CONCATENATE('CT Worksheet'!S4,"-log")</f>
        <v>-log</v>
      </c>
      <c r="BD60" s="6"/>
      <c r="BE60" s="24" t="str">
        <f>CONCATENATE('CT Worksheet'!C21,'CT Worksheet'!D21)</f>
        <v/>
      </c>
      <c r="BF60" s="7"/>
      <c r="BH60" s="235" t="s">
        <v>491</v>
      </c>
      <c r="BI60" s="237" t="str">
        <f>IF(OR(logVirusR="",'CT Worksheet'!B22&lt;&gt;"Chlorine Dioxide"),"",IF(logVirusR&lt;=2,1,IF(logVirusR&lt;=3,2,IF(logVirusR&lt;=4,3,4))))</f>
        <v/>
      </c>
      <c r="BJ60" s="190">
        <f>IF(BI60=2,(3-logVirusR)/1,IF(BI60=3,(4-logVirusR)/1,IF(BI61=0,(2-logVirusR)/2,0)))</f>
        <v>0</v>
      </c>
      <c r="BK60" s="12"/>
      <c r="BL60" s="12"/>
      <c r="BM60" s="81" t="e">
        <f>HLOOKUP(BI59,ClOgTable,2,FALSE)</f>
        <v>#N/A</v>
      </c>
      <c r="BN60" s="81" t="e">
        <f>HLOOKUP(BI58,ClOgTable,2,FALSE)</f>
        <v>#N/A</v>
      </c>
      <c r="BO60" s="81"/>
      <c r="BP60" s="211" t="str">
        <f>CONCATENATE(logGiardiaR,"-log")</f>
        <v>-log</v>
      </c>
      <c r="BQ60" s="12"/>
      <c r="BR60" s="211" t="str">
        <f>CONCATENATE('CT Worksheet'!C21,'CT Worksheet'!D21)</f>
        <v/>
      </c>
      <c r="BS60" s="242"/>
      <c r="BT60" s="234"/>
      <c r="BU60" s="235" t="s">
        <v>506</v>
      </c>
      <c r="BV60" s="237" t="str">
        <f>IF(OR(logVirusR="",'CT Worksheet'!B22&lt;&gt;"Ozone"),"",IF(logVirusR&lt;=2,1,IF(logVirusR&lt;=3,2,IF(logVirusR&lt;=4,3,4))))</f>
        <v/>
      </c>
      <c r="BW60" s="190">
        <f>IF(BV60=2,(3-logVirusR)/1,IF(BV60=3,(4-logVirusR)/1,IF(BV61=0,(2-logVirusR)/2,0)))</f>
        <v>0</v>
      </c>
      <c r="BX60" s="12"/>
      <c r="BY60" s="12"/>
      <c r="BZ60" s="81" t="e">
        <f>HLOOKUP(BV59,O3gTable,2,FALSE)</f>
        <v>#N/A</v>
      </c>
      <c r="CA60" s="81" t="e">
        <f>HLOOKUP(BV58,O3gTable,2,FALSE)</f>
        <v>#N/A</v>
      </c>
      <c r="CB60" s="81"/>
      <c r="CC60" s="211" t="str">
        <f>CONCATENATE(logGiardiaR,"-log")</f>
        <v>-log</v>
      </c>
      <c r="CD60" s="12"/>
      <c r="CE60" s="211" t="str">
        <f>CONCATENATE('CT Worksheet'!C21,'CT Worksheet'!D21)</f>
        <v/>
      </c>
      <c r="CF60" s="242"/>
      <c r="CG60" s="234"/>
      <c r="CH60" s="235" t="s">
        <v>509</v>
      </c>
      <c r="CI60" s="237" t="str">
        <f>IF(OR(logVirusR="",'CT Worksheet'!B22&lt;&gt;"Chloramine"),"",IF(logVirusR&lt;=2,1,IF(logVirusR&lt;=3,2,IF(logVirusR&lt;=4,3,4))))</f>
        <v/>
      </c>
      <c r="CJ60" s="190">
        <f>IF(CI60=2,(3-logVirusR)/1,IF(CI60=3,(4-logVirusR)/1,IF(CI61=0,(2-logVirusR)/2,0)))</f>
        <v>0</v>
      </c>
      <c r="CK60" s="12"/>
      <c r="CL60" s="12"/>
      <c r="CM60" s="81" t="e">
        <f>HLOOKUP(CI59,ChloramineTableG,2,FALSE)</f>
        <v>#N/A</v>
      </c>
      <c r="CN60" s="81" t="e">
        <f>HLOOKUP(CI58,ChloramineTableG,2,FALSE)</f>
        <v>#N/A</v>
      </c>
      <c r="CO60" s="81"/>
      <c r="CP60" s="211" t="str">
        <f>CONCATENATE(logGiardiaR,"-log")</f>
        <v>-log</v>
      </c>
      <c r="CQ60" s="12"/>
      <c r="CR60" s="211" t="str">
        <f>CONCATENATE('CT Worksheet'!C11,'CT Worksheet'!D11)</f>
        <v/>
      </c>
      <c r="CS60" s="242"/>
      <c r="CU60" s="28" t="s">
        <v>71</v>
      </c>
      <c r="CV60" s="12" t="str">
        <f>IF(Temp3="","",IF(Temp3&lt;=0,"",IF(Temp3&lt;=10,1,IF(Temp3&lt;=15,2,IF(Temp3&lt;=20,3,4)))))</f>
        <v/>
      </c>
      <c r="CW60" s="190">
        <f>IF(CV61=4,0,IF(Temp3&gt;25,0,IF(CV60=2,((15-Temp3)/5),IF(CV60=3,((20-Temp3)/5),IF(CV60=4,((25-Temp3)/5),0)))))</f>
        <v>0</v>
      </c>
      <c r="CX60" s="6"/>
      <c r="CY60" s="6"/>
      <c r="CZ60" s="45" t="e">
        <f>CONCATENATE(VLOOKUP(CV61,MicrocystinTable,2,FALSE)," C")</f>
        <v>#N/A</v>
      </c>
      <c r="DA60" s="145" t="str">
        <f>IF(OR(F8="",CX67=""),"",HLOOKUP(CX67,MicrocystinTable,CV61+2,FALSE))</f>
        <v/>
      </c>
      <c r="DB60" s="61" t="str">
        <f>IF(OR(F8="",CW67=""),"",HLOOKUP(CW67,MicrocystinTable,CV61+2,FALSE))</f>
        <v/>
      </c>
      <c r="DC60" s="62" t="str">
        <f>IF(OR(F8="",CX68=""),"",HLOOKUP(CX68,MicrocystinTable,CV61+2,FALSE))</f>
        <v/>
      </c>
      <c r="DD60" s="434" t="str">
        <f>IF(OR(F8="",CW68=""),"",HLOOKUP(CW68,MicrocystinTable,CV61+2,FALSE))</f>
        <v/>
      </c>
      <c r="DE60" s="6"/>
      <c r="DF60" s="219" t="str">
        <f>IF(OR(DA60="",DC60=""),"",DC60-((DC60-DA60)*CW58))</f>
        <v/>
      </c>
      <c r="DG60" s="176" t="str">
        <f>IF(OR(DD60="",DD60=""),"",DD60-((DD60-DB60)*CW58))</f>
        <v/>
      </c>
      <c r="DH60" s="177" t="str">
        <f>IF(OR(DG60="",DF60=""),"",DG60-((DG60-DF60)*CW56))</f>
        <v/>
      </c>
      <c r="DI60" s="22"/>
      <c r="DJ60" s="182" t="str">
        <f>IF(OR(DH60="",DH61=""),"",DH61-((DH61-DH60)*CW60))</f>
        <v/>
      </c>
      <c r="DK60" s="241"/>
      <c r="DL60" s="440"/>
      <c r="DM60" s="241"/>
      <c r="DN60" s="241"/>
      <c r="DO60" s="7"/>
    </row>
    <row r="61" spans="1:119" ht="13.5" thickBot="1" x14ac:dyDescent="0.25">
      <c r="A61" s="28" t="s">
        <v>86</v>
      </c>
      <c r="B61" s="6" t="str">
        <f>IF(B60="","",IF(Temp3&gt;=25,6,IF(B60&gt;=2,B60-1,1)))</f>
        <v/>
      </c>
      <c r="C61" s="6"/>
      <c r="D61" s="6"/>
      <c r="E61" s="6"/>
      <c r="F61" s="22"/>
      <c r="G61" s="6"/>
      <c r="H61" s="40"/>
      <c r="I61" s="6"/>
      <c r="J61" s="566" t="e">
        <f>CONCATENATE("pH ",HLOOKUP(D67,CTtable,17,FALSE),", ",HLOOKUP(D67,CTtable,18,FALSE),"C")</f>
        <v>#N/A</v>
      </c>
      <c r="K61" s="567"/>
      <c r="L61" s="568" t="e">
        <f>CONCATENATE("pH ",HLOOKUP(D68,CTtable,17,FALSE),", ",HLOOKUP(D68,CTtable,18,FALSE),"C")</f>
        <v>#N/A</v>
      </c>
      <c r="M61" s="566"/>
      <c r="N61" s="22"/>
      <c r="O61" s="613" t="e">
        <f>CONCATENATE("pH ",'CT Worksheet'!C23,", ",HLOOKUP(D67,CTtable,18,FALSE),"C")</f>
        <v>#N/A</v>
      </c>
      <c r="P61" s="613"/>
      <c r="Q61" s="613"/>
      <c r="R61" s="22"/>
      <c r="S61" s="22"/>
      <c r="T61" s="22"/>
      <c r="U61" s="7"/>
      <c r="V61" s="28"/>
      <c r="W61" s="58">
        <v>1</v>
      </c>
      <c r="X61" s="75" t="str">
        <f>IF(E67="","",HLOOKUP(E67,CTtable,5,FALSE))</f>
        <v/>
      </c>
      <c r="Y61" s="22" t="str">
        <f>IF(D67="","",HLOOKUP(D67,CTtable,5,FALSE))</f>
        <v/>
      </c>
      <c r="Z61" s="75" t="str">
        <f>IF(E68="","",HLOOKUP(E68,CTtable,5,FALSE))</f>
        <v/>
      </c>
      <c r="AA61" s="73" t="str">
        <f>IF(D68="","",HLOOKUP(D68,CTtable,5,FALSE))</f>
        <v/>
      </c>
      <c r="AB61" s="75" t="str">
        <f>IF(E69="","",HLOOKUP(E69,CTtable,5,FALSE))</f>
        <v/>
      </c>
      <c r="AC61" s="22" t="str">
        <f>IF(D69="","",HLOOKUP(D69,CTtable,5,FALSE))</f>
        <v/>
      </c>
      <c r="AD61" s="75" t="str">
        <f>IF(E70="","",HLOOKUP(E70,CTtable,5,FALSE))</f>
        <v/>
      </c>
      <c r="AE61" s="73" t="str">
        <f>IF($D$70="","",HLOOKUP($D$70,CTtable,5,FALSE))</f>
        <v/>
      </c>
      <c r="AF61" s="6"/>
      <c r="AG61" s="78" t="str">
        <f t="shared" si="23"/>
        <v/>
      </c>
      <c r="AH61" s="79" t="str">
        <f t="shared" si="24"/>
        <v/>
      </c>
      <c r="AI61" s="78" t="str">
        <f t="shared" si="25"/>
        <v/>
      </c>
      <c r="AJ61" s="79" t="str">
        <f t="shared" si="26"/>
        <v/>
      </c>
      <c r="AK61" s="22"/>
      <c r="AL61" s="100" t="str">
        <f t="shared" si="27"/>
        <v/>
      </c>
      <c r="AM61" s="108" t="str">
        <f t="shared" si="28"/>
        <v/>
      </c>
      <c r="AN61" s="95" t="str">
        <f t="shared" si="29"/>
        <v/>
      </c>
      <c r="AO61" s="7"/>
      <c r="AQ61" s="28" t="s">
        <v>516</v>
      </c>
      <c r="AR61" s="6" t="str">
        <f>IF(AR60="","",IF(AR60&gt;=2,AR60-1,1))</f>
        <v/>
      </c>
      <c r="AS61" s="6"/>
      <c r="AT61" s="6"/>
      <c r="AU61" s="45" t="e">
        <f>CONCATENATE(VLOOKUP(AR63,VirusCTtable,2,FALSE)," C")</f>
        <v>#N/A</v>
      </c>
      <c r="AV61" s="145" t="str">
        <f>IF(OR(F8="",AT66=""),"",HLOOKUP(AT66,VirusCTtable,AR63+2,FALSE))</f>
        <v/>
      </c>
      <c r="AW61" s="61" t="str">
        <f>IF(OR(F8="",AS66=""),"",HLOOKUP(AS66,VirusCTtable,AR63+2,FALSE))</f>
        <v/>
      </c>
      <c r="AX61" s="62" t="str">
        <f>IF(OR(F8="",AT67=""),"",HLOOKUP(AT67,VirusCTtable,AR63+2,FALSE))</f>
        <v/>
      </c>
      <c r="AY61" s="172" t="str">
        <f>IF(OR(F8="",AS67=""),"",HLOOKUP(AS67,VirusCTtable,AR63+2,FALSE))</f>
        <v/>
      </c>
      <c r="AZ61" s="6"/>
      <c r="BA61" s="175" t="str">
        <f>IF(OR(AV61="",AX61=""),"",AX61-((AX61-AV61)*AS60))</f>
        <v/>
      </c>
      <c r="BB61" s="176" t="str">
        <f>IF(OR(AY61="",AY61=""),"",AY61-((AY61-AW61)*AS60))</f>
        <v/>
      </c>
      <c r="BC61" s="177" t="str">
        <f>IF(OR(BB61="",BA61=""),"",BB61-((BB61-BA61)*AS58))</f>
        <v/>
      </c>
      <c r="BD61" s="22"/>
      <c r="BE61" s="182" t="str">
        <f>IF(OR(BC61="",BC62=""),"",BC62-((BC62-BC61)*AS62))</f>
        <v/>
      </c>
      <c r="BF61" s="7"/>
      <c r="BH61" s="235" t="s">
        <v>492</v>
      </c>
      <c r="BI61" s="237" t="str">
        <f>IF(BI60="","",IF(BI60&gt;=2,BI60-1,IF(logVirusR&lt;2,0,1)))</f>
        <v/>
      </c>
      <c r="BJ61" s="12"/>
      <c r="BK61" s="12"/>
      <c r="BL61" s="243" t="e">
        <f>CONCATENATE(VLOOKUP(BI64,ClOgTable,2,FALSE)," C")</f>
        <v>#N/A</v>
      </c>
      <c r="BM61" s="244" t="str">
        <f>IF(OR(F8="",BI59=""),"",HLOOKUP(BI59,ClOgTable,BI64+2,FALSE))</f>
        <v/>
      </c>
      <c r="BN61" s="244" t="str">
        <f>IF(OR(F8="",BI58=""),"",HLOOKUP(BI58,ClOgTable,BI64+2,FALSE))</f>
        <v/>
      </c>
      <c r="BO61" s="81"/>
      <c r="BP61" s="219" t="str">
        <f>IF(OR(BN61="",BM61=""),"",BN61-((BN61-BM61)*BJ58))</f>
        <v/>
      </c>
      <c r="BQ61" s="12"/>
      <c r="BR61" s="182" t="str">
        <f>IF(OR(BP61="",BP62=""),"",BP62-((BP62-BP61)*BJ63))</f>
        <v/>
      </c>
      <c r="BS61" s="222"/>
      <c r="BT61" s="234"/>
      <c r="BU61" s="235" t="s">
        <v>507</v>
      </c>
      <c r="BV61" s="237" t="str">
        <f>IF(BV60="","",IF(BV60&gt;=2,BV60-1,IF(logVirusR&lt;2,0,1)))</f>
        <v/>
      </c>
      <c r="BW61" s="12"/>
      <c r="BX61" s="12"/>
      <c r="BY61" s="243" t="e">
        <f>CONCATENATE(VLOOKUP(BV64,ClOgTable,2,FALSE)," C")</f>
        <v>#N/A</v>
      </c>
      <c r="BZ61" s="244" t="str">
        <f>IF(OR(F8="",BV59=""),"",HLOOKUP(BV59,O3gTable,BV64+2,FALSE))</f>
        <v/>
      </c>
      <c r="CA61" s="244" t="str">
        <f>IF(OR(F8="",BV58=""),"",HLOOKUP(BV58,O3gTable,BV64+2,FALSE))</f>
        <v/>
      </c>
      <c r="CB61" s="81"/>
      <c r="CC61" s="219" t="str">
        <f>IF(OR(CA61="",BZ61=""),"",CA61-((CA61-BZ61)*BW58))</f>
        <v/>
      </c>
      <c r="CD61" s="12"/>
      <c r="CE61" s="182" t="str">
        <f>IF(OR(CC61="",CC62=""),"",CC62-((CC62-CC61)*BW63))</f>
        <v/>
      </c>
      <c r="CF61" s="222"/>
      <c r="CG61" s="234"/>
      <c r="CH61" s="235" t="s">
        <v>510</v>
      </c>
      <c r="CI61" s="237" t="str">
        <f>IF(CI60="","",IF(CI60&gt;=2,CI60-1,IF(logVirusR&lt;2,0,1)))</f>
        <v/>
      </c>
      <c r="CJ61" s="12"/>
      <c r="CK61" s="12"/>
      <c r="CL61" s="243" t="e">
        <f>CONCATENATE(VLOOKUP(CI64,ChloramineTableG,2,FALSE)," C")</f>
        <v>#N/A</v>
      </c>
      <c r="CM61" s="244" t="str">
        <f>IF(OR(F8="",CI59="",'CT Worksheet'!C23&gt;9),"",HLOOKUP(CI59,ChloramineTableG,CI64+2,FALSE))</f>
        <v/>
      </c>
      <c r="CN61" s="244" t="str">
        <f>IF(OR(F8="",CI58="",'CT Worksheet'!C23&gt;9),"",HLOOKUP(CI58,ChloramineTableG,CI64+2,FALSE))</f>
        <v/>
      </c>
      <c r="CO61" s="81"/>
      <c r="CP61" s="219" t="str">
        <f>IF(OR(CN61="",CM61=""),"",CN61-((CN61-CM61)*CJ58))</f>
        <v/>
      </c>
      <c r="CQ61" s="12"/>
      <c r="CR61" s="182" t="str">
        <f>IF(OR(CP61="",CP62=""),"",CP62-((CP62-CP61)*CJ63))</f>
        <v/>
      </c>
      <c r="CS61" s="222"/>
      <c r="CU61" s="28" t="s">
        <v>85</v>
      </c>
      <c r="CV61" s="12" t="str">
        <f>IF(CV60="","",IF(Temp2&gt;=25,4,IF(CV60&gt;=2,CV60-1,1)))</f>
        <v/>
      </c>
      <c r="CW61" s="12"/>
      <c r="CX61" s="6"/>
      <c r="CY61" s="6"/>
      <c r="CZ61" s="45" t="e">
        <f>CONCATENATE(VLOOKUP(CV60,MicrocystinTable,2,FALSE)," C")</f>
        <v>#N/A</v>
      </c>
      <c r="DA61" s="61" t="str">
        <f>IF(OR(F8="",CX67=""),"",HLOOKUP(CX67,MicrocystinTable,CV60+2,FALSE))</f>
        <v/>
      </c>
      <c r="DB61" s="61" t="str">
        <f>IF(OR(F8="",CW67=""),"",HLOOKUP(CW67,MicrocystinTable,CV60+2,FALSE))</f>
        <v/>
      </c>
      <c r="DC61" s="173" t="str">
        <f>IF(OR(F8="",CX68=""),"",HLOOKUP(CX68,MicrocystinTable,CV60+2,FALSE))</f>
        <v/>
      </c>
      <c r="DD61" s="145" t="str">
        <f>IF(OR(F8="",CW68=""),"",HLOOKUP(CW68,MicrocystinTable,CV60+2,FALSE))</f>
        <v/>
      </c>
      <c r="DE61" s="6"/>
      <c r="DF61" s="220" t="str">
        <f>IF(OR(DA61="",DC61=""),"",DC61-((DC61-DA61)*CW58))</f>
        <v/>
      </c>
      <c r="DG61" s="179" t="str">
        <f>IF(OR(DD61="",DD61=""),"",DD61-((DD61-DB61)*CW58))</f>
        <v/>
      </c>
      <c r="DH61" s="180" t="str">
        <f>IF(OR(DG61="",DF61=""),"",DG61-((DG61-DF61)*CW56))</f>
        <v/>
      </c>
      <c r="DI61" s="22"/>
      <c r="DJ61" s="181"/>
      <c r="DK61" s="241"/>
      <c r="DL61" s="440"/>
      <c r="DM61" s="241"/>
      <c r="DN61" s="241"/>
      <c r="DO61" s="7"/>
    </row>
    <row r="62" spans="1:119" ht="13.5" thickBot="1" x14ac:dyDescent="0.25">
      <c r="A62" s="28" t="s">
        <v>80</v>
      </c>
      <c r="B62" s="6" t="str">
        <f>IF(B64&lt;&gt;"",B64,IF(B65=15,14,B65))</f>
        <v/>
      </c>
      <c r="C62" s="44" t="str">
        <f>IF(C64="",C65,C64)</f>
        <v/>
      </c>
      <c r="D62" s="6"/>
      <c r="E62" s="6"/>
      <c r="F62" s="22"/>
      <c r="G62" s="6"/>
      <c r="H62" s="40"/>
      <c r="I62" s="6"/>
      <c r="J62" s="22"/>
      <c r="K62" s="22"/>
      <c r="L62" s="22"/>
      <c r="M62" s="22"/>
      <c r="N62" s="22"/>
      <c r="O62" s="22"/>
      <c r="P62" s="22"/>
      <c r="Q62" s="22"/>
      <c r="R62" s="22"/>
      <c r="S62" s="22"/>
      <c r="T62" s="22"/>
      <c r="U62" s="7"/>
      <c r="V62" s="28"/>
      <c r="W62" s="58">
        <v>1.2</v>
      </c>
      <c r="X62" s="75" t="str">
        <f>IF(E67="","",HLOOKUP(E67,CTtable,6,FALSE))</f>
        <v/>
      </c>
      <c r="Y62" s="22" t="str">
        <f>IF(D67="","",HLOOKUP(D67,CTtable,6,FALSE))</f>
        <v/>
      </c>
      <c r="Z62" s="75" t="str">
        <f>IF(E68="","",HLOOKUP(E68,CTtable,6,FALSE))</f>
        <v/>
      </c>
      <c r="AA62" s="73" t="str">
        <f>IF(D68="","",HLOOKUP(D68,CTtable,6,FALSE))</f>
        <v/>
      </c>
      <c r="AB62" s="75" t="str">
        <f>IF(E69="","",HLOOKUP(E69,CTtable,6,FALSE))</f>
        <v/>
      </c>
      <c r="AC62" s="22" t="str">
        <f>IF(D69="","",HLOOKUP(D69,CTtable,6,FALSE))</f>
        <v/>
      </c>
      <c r="AD62" s="75" t="str">
        <f>IF(E70="","",HLOOKUP(E70,CTtable,6,FALSE))</f>
        <v/>
      </c>
      <c r="AE62" s="73" t="str">
        <f>IF($D$70="","",HLOOKUP($D$70,CTtable,6,FALSE))</f>
        <v/>
      </c>
      <c r="AF62" s="6"/>
      <c r="AG62" s="78" t="str">
        <f t="shared" si="23"/>
        <v/>
      </c>
      <c r="AH62" s="79" t="str">
        <f t="shared" si="24"/>
        <v/>
      </c>
      <c r="AI62" s="78" t="str">
        <f t="shared" si="25"/>
        <v/>
      </c>
      <c r="AJ62" s="79" t="str">
        <f t="shared" si="26"/>
        <v/>
      </c>
      <c r="AK62" s="22"/>
      <c r="AL62" s="100" t="str">
        <f t="shared" si="27"/>
        <v/>
      </c>
      <c r="AM62" s="108" t="str">
        <f t="shared" si="28"/>
        <v/>
      </c>
      <c r="AN62" s="95" t="str">
        <f t="shared" si="29"/>
        <v/>
      </c>
      <c r="AO62" s="7"/>
      <c r="AQ62" s="28" t="s">
        <v>84</v>
      </c>
      <c r="AR62" s="12" t="str">
        <f>IF(Temp3="","",IF(Temp3&lt;=0,"",IF(Temp3&lt;=1,1,IF(Temp3&lt;=5,2,IF(Temp3&lt;=10,3,IF(Temp3&lt;=15,4,IF(Temp3&lt;=20,5,6)))))))</f>
        <v/>
      </c>
      <c r="AS62" s="190">
        <f>IF(AR63=6,0,IF(AR62=2,((5-Temp3)/4),IF(AR62=3,((10-Temp3)/5),IF(AR62=4,((15-Temp3)/5),IF(AR62=5,((20-Temp3)/5),IF(AR62=6,((25-Temp3)/5),0))))))</f>
        <v>0</v>
      </c>
      <c r="AT62" s="6"/>
      <c r="AU62" s="45" t="e">
        <f>CONCATENATE(VLOOKUP(AR62,VirusCTtable,2,FALSE)," C")</f>
        <v>#N/A</v>
      </c>
      <c r="AV62" s="61" t="str">
        <f>IF(OR(F8="",AT66=""),"",HLOOKUP(AT66,VirusCTtable,AR62+2,FALSE))</f>
        <v/>
      </c>
      <c r="AW62" s="61" t="str">
        <f>IF(OR(F8="",AS66=""),"",HLOOKUP(AS66,VirusCTtable,AR62+2,FALSE))</f>
        <v/>
      </c>
      <c r="AX62" s="173" t="str">
        <f>IF(OR(F8="",AT67=""),"",HLOOKUP(AT67,VirusCTtable,AR62+2,FALSE))</f>
        <v/>
      </c>
      <c r="AY62" s="174" t="str">
        <f>IF(OR(F8="",AS67=""),"",HLOOKUP(AS67,VirusCTtable,AR62+2,FALSE))</f>
        <v/>
      </c>
      <c r="AZ62" s="6"/>
      <c r="BA62" s="178" t="str">
        <f>IF(OR(AV62="",AX62=""),"",AX62-((AX62-AV62)*AS60))</f>
        <v/>
      </c>
      <c r="BB62" s="179" t="str">
        <f>IF(OR(AY62="",AY62=""),"",AY62-((AY62-AW62)*AS60))</f>
        <v/>
      </c>
      <c r="BC62" s="180" t="str">
        <f>IF(OR(BB62="",BA62=""),"",BB62-((BB62-BA62)*AS58))</f>
        <v/>
      </c>
      <c r="BD62" s="22"/>
      <c r="BE62" s="181"/>
      <c r="BF62" s="7"/>
      <c r="BH62" s="235"/>
      <c r="BI62" s="12"/>
      <c r="BJ62" s="190"/>
      <c r="BK62" s="12"/>
      <c r="BL62" s="243" t="e">
        <f>CONCATENATE(VLOOKUP(BI63,ClOgTable,2,FALSE)," C")</f>
        <v>#N/A</v>
      </c>
      <c r="BM62" s="244" t="str">
        <f>IF(OR(F8="",BI59=""),"",HLOOKUP(BI59,ClOgTable,BI63+2,FALSE))</f>
        <v/>
      </c>
      <c r="BN62" s="244" t="str">
        <f>IF(OR(F8="",BI58=""),"",HLOOKUP(BI58,ClOgTable,BI63+2,FALSE))</f>
        <v/>
      </c>
      <c r="BO62" s="81"/>
      <c r="BP62" s="220" t="str">
        <f>IF(OR(BN62="",BM62=""),"",BN62-((BN62-BM62)*BJ58))</f>
        <v/>
      </c>
      <c r="BQ62" s="12"/>
      <c r="BR62" s="181"/>
      <c r="BS62" s="222"/>
      <c r="BT62" s="234"/>
      <c r="BU62" s="235"/>
      <c r="BV62" s="12"/>
      <c r="BW62" s="190"/>
      <c r="BX62" s="12"/>
      <c r="BY62" s="243" t="e">
        <f>CONCATENATE(VLOOKUP(BV63,ClOgTable,2,FALSE)," C")</f>
        <v>#N/A</v>
      </c>
      <c r="BZ62" s="244" t="str">
        <f>IF(OR(F8="",BV59=""),"",HLOOKUP(BV59,O3gTable,BV63+2,FALSE))</f>
        <v/>
      </c>
      <c r="CA62" s="244" t="str">
        <f>IF(OR(F8="",BV58=""),"",HLOOKUP(BV58,O3gTable,BV63+2,FALSE))</f>
        <v/>
      </c>
      <c r="CB62" s="81"/>
      <c r="CC62" s="220" t="str">
        <f>IF(OR(CA62="",BZ62=""),"",CA62-((CA62-BZ62)*BW58))</f>
        <v/>
      </c>
      <c r="CD62" s="12"/>
      <c r="CE62" s="181"/>
      <c r="CF62" s="222"/>
      <c r="CG62" s="234"/>
      <c r="CH62" s="235"/>
      <c r="CI62" s="12"/>
      <c r="CJ62" s="190"/>
      <c r="CK62" s="12"/>
      <c r="CL62" s="243" t="e">
        <f>CONCATENATE(VLOOKUP(CI63,ChloramineTableG,2,FALSE)," C")</f>
        <v>#N/A</v>
      </c>
      <c r="CM62" s="244" t="str">
        <f>IF(OR(F8="",CI59="",'CT Worksheet'!C23&gt;9),"",HLOOKUP(CI59,ChloramineTableG,CI63+2,FALSE))</f>
        <v/>
      </c>
      <c r="CN62" s="244" t="str">
        <f>IF(OR(F8="",CI58="",'CT Worksheet'!C23&gt;9),"",HLOOKUP(CI58,ChloramineTableG,CI63+2,FALSE))</f>
        <v/>
      </c>
      <c r="CO62" s="81"/>
      <c r="CP62" s="220" t="str">
        <f>IF(OR(CN62="",CM62=""),"",CN62-((CN62-CM62)*CJ58))</f>
        <v/>
      </c>
      <c r="CQ62" s="12"/>
      <c r="CR62" s="181"/>
      <c r="CS62" s="222"/>
      <c r="CU62" s="235"/>
      <c r="CV62" s="12"/>
      <c r="CW62" s="190"/>
      <c r="CX62" s="6"/>
      <c r="CY62" s="6"/>
      <c r="CZ62" s="6"/>
      <c r="DA62" s="566" t="str">
        <f>IF(CV59="","",IF(CV59=1,CONCATENATE("pH ",6),IF(CV59=2,CONCATENATE("pH ",7),IF(CV59=3,CONCATENATE("pH ",8),CONCATENATE("pH ",9)))))</f>
        <v/>
      </c>
      <c r="DB62" s="567"/>
      <c r="DC62" s="568" t="str">
        <f>IF(CV58="","",IF(CV58=1,CONCATENATE("pH ",6),IF(CV58=2,CONCATENATE("pH ",7),IF(CV58=3,CONCATENATE("pH ",8),CONCATENATE("pH ",9)))))</f>
        <v/>
      </c>
      <c r="DD62" s="566"/>
      <c r="DE62" s="6"/>
      <c r="DF62" s="569" t="str">
        <f>CONCATENATE("pH ",'CT Worksheet'!C23)</f>
        <v xml:space="preserve">pH </v>
      </c>
      <c r="DG62" s="569"/>
      <c r="DH62" s="569"/>
      <c r="DI62" s="6"/>
      <c r="DJ62" s="6"/>
      <c r="DK62" s="241"/>
      <c r="DL62" s="440"/>
      <c r="DM62" s="241"/>
      <c r="DN62" s="241"/>
      <c r="DO62" s="7"/>
    </row>
    <row r="63" spans="1:119" ht="13.5" thickBot="1" x14ac:dyDescent="0.25">
      <c r="A63" s="28" t="s">
        <v>81</v>
      </c>
      <c r="B63" s="6" t="str">
        <f>IF(B62="","",IF(B65=15,14,IF(B62&gt;=2,B62-1,1)))</f>
        <v/>
      </c>
      <c r="C63" s="6"/>
      <c r="D63" s="6"/>
      <c r="E63" s="6"/>
      <c r="F63" s="22"/>
      <c r="G63" s="6"/>
      <c r="H63" s="6"/>
      <c r="I63" s="6"/>
      <c r="J63" s="608" t="str">
        <f>CONCATENATE("CT Table ",F69)</f>
        <v xml:space="preserve">CT Table </v>
      </c>
      <c r="K63" s="609"/>
      <c r="L63" s="614" t="str">
        <f>CONCATENATE("CT Table ",F70)</f>
        <v xml:space="preserve">CT Table </v>
      </c>
      <c r="M63" s="615"/>
      <c r="N63" s="22"/>
      <c r="O63" s="22"/>
      <c r="P63" s="22"/>
      <c r="Q63" s="22"/>
      <c r="R63" s="22"/>
      <c r="S63" s="22"/>
      <c r="T63" s="22"/>
      <c r="U63" s="7"/>
      <c r="V63" s="28"/>
      <c r="W63" s="58">
        <v>1.4</v>
      </c>
      <c r="X63" s="75" t="str">
        <f>IF(E67="","",HLOOKUP(E67,CTtable,7,FALSE))</f>
        <v/>
      </c>
      <c r="Y63" s="22" t="str">
        <f>IF(D67="","",HLOOKUP(D67,CTtable,7,FALSE))</f>
        <v/>
      </c>
      <c r="Z63" s="75" t="str">
        <f>IF(E68="","",HLOOKUP(E68,CTtable,7,FALSE))</f>
        <v/>
      </c>
      <c r="AA63" s="73" t="str">
        <f>IF(D68="","",HLOOKUP(D68,CTtable,7,FALSE))</f>
        <v/>
      </c>
      <c r="AB63" s="75" t="str">
        <f>IF(E69="","",HLOOKUP(E69,CTtable,7,FALSE))</f>
        <v/>
      </c>
      <c r="AC63" s="22" t="str">
        <f>IF(D69="","",HLOOKUP(D69,CTtable,7,FALSE))</f>
        <v/>
      </c>
      <c r="AD63" s="75" t="str">
        <f>IF(E70="","",HLOOKUP(E70,CTtable,7,FALSE))</f>
        <v/>
      </c>
      <c r="AE63" s="73" t="str">
        <f>IF($D$70="","",HLOOKUP($D$70,CTtable,7,FALSE))</f>
        <v/>
      </c>
      <c r="AF63" s="6"/>
      <c r="AG63" s="78" t="str">
        <f t="shared" si="23"/>
        <v/>
      </c>
      <c r="AH63" s="79" t="str">
        <f t="shared" si="24"/>
        <v/>
      </c>
      <c r="AI63" s="78" t="str">
        <f t="shared" si="25"/>
        <v/>
      </c>
      <c r="AJ63" s="79" t="str">
        <f t="shared" si="26"/>
        <v/>
      </c>
      <c r="AK63" s="22"/>
      <c r="AL63" s="100" t="str">
        <f t="shared" si="27"/>
        <v/>
      </c>
      <c r="AM63" s="108" t="str">
        <f t="shared" si="28"/>
        <v/>
      </c>
      <c r="AN63" s="95" t="str">
        <f t="shared" si="29"/>
        <v/>
      </c>
      <c r="AO63" s="7"/>
      <c r="AQ63" s="28" t="s">
        <v>86</v>
      </c>
      <c r="AR63" s="12" t="str">
        <f>IF(AR62="","",IF(Temp3&gt;=25,6,IF(AR62&gt;=2,AR62-1,1)))</f>
        <v/>
      </c>
      <c r="AS63" s="12"/>
      <c r="AT63" s="6"/>
      <c r="AU63" s="6"/>
      <c r="AV63" s="566" t="str">
        <f>IF(AR61=1,"pH 6-9",IF(AR61=2,"pH 10",""))</f>
        <v/>
      </c>
      <c r="AW63" s="567"/>
      <c r="AX63" s="568" t="str">
        <f>IF(AR60=1,"pH 6-9",IF(AR60=2,"pH 10",""))</f>
        <v/>
      </c>
      <c r="AY63" s="566"/>
      <c r="AZ63" s="6"/>
      <c r="BA63" s="569" t="str">
        <f>CONCATENATE("pH ",'CT Worksheet'!C23)</f>
        <v xml:space="preserve">pH </v>
      </c>
      <c r="BB63" s="569"/>
      <c r="BC63" s="569"/>
      <c r="BD63" s="6"/>
      <c r="BE63" s="6"/>
      <c r="BF63" s="7"/>
      <c r="BH63" s="235" t="s">
        <v>84</v>
      </c>
      <c r="BI63" s="12" t="str">
        <f>IF(Temp3="","",IF(Temp3&lt;=0,"",IF(Temp3&lt;=1,1,IF(Temp3&lt;=5,2,IF(Temp3&lt;=10,3,IF(Temp3&lt;=15,4,IF(Temp3&lt;=20,5,6)))))))</f>
        <v/>
      </c>
      <c r="BJ63" s="190">
        <f>IF(BI64=6,0,IF(BI63=2,((5-Temp3)/4),IF(BI63=3,((10-Temp3)/5),IF(BI63=4,((15-Temp3)/5),IF(BI63=5,((20-Temp3)/5),IF(BI63=6,((25-Temp3)/5),0))))))</f>
        <v>0</v>
      </c>
      <c r="BK63" s="12"/>
      <c r="BL63" s="12"/>
      <c r="BM63" s="245"/>
      <c r="BN63" s="245"/>
      <c r="BO63" s="240" t="str">
        <f>IF(BI62=1,"pH 6-9",IF(BI62=2,"pH 10",""))</f>
        <v/>
      </c>
      <c r="BP63" s="240"/>
      <c r="BQ63" s="12"/>
      <c r="BR63" s="246"/>
      <c r="BS63" s="247"/>
      <c r="BT63" s="246"/>
      <c r="BU63" s="235" t="s">
        <v>84</v>
      </c>
      <c r="BV63" s="12" t="str">
        <f>IF(Temp3="","",IF(Temp3&lt;=0,"",IF(Temp3&lt;=1,1,IF(Temp3&lt;=5,2,IF(Temp3&lt;=10,3,IF(Temp3&lt;=15,4,IF(Temp3&lt;=20,5,6)))))))</f>
        <v/>
      </c>
      <c r="BW63" s="190">
        <f>IF(BV64=6,0,IF(BV63=2,((5-Temp3)/4),IF(BV63=3,((10-Temp3)/5),IF(BV63=4,((15-Temp3)/5),IF(BV63=5,((20-Temp3)/5),IF(BV63=6,((25-Temp3)/5),0))))))</f>
        <v>0</v>
      </c>
      <c r="BX63" s="12"/>
      <c r="BY63" s="12"/>
      <c r="BZ63" s="245"/>
      <c r="CA63" s="245"/>
      <c r="CB63" s="240" t="str">
        <f>IF(BV62=1,"pH 6-9",IF(BV62=2,"pH 10",""))</f>
        <v/>
      </c>
      <c r="CC63" s="240"/>
      <c r="CD63" s="12"/>
      <c r="CE63" s="246"/>
      <c r="CF63" s="247"/>
      <c r="CG63" s="234"/>
      <c r="CH63" s="235" t="s">
        <v>84</v>
      </c>
      <c r="CI63" s="12" t="str">
        <f>IF(Temp3="","",IF(Temp3&lt;=0,"",IF(Temp3&lt;=1,1,IF(Temp3&lt;=5,2,IF(Temp3&lt;=10,3,IF(Temp3&lt;=15,4,IF(Temp3&lt;=20,5,6)))))))</f>
        <v/>
      </c>
      <c r="CJ63" s="190">
        <f>IF(CI64=6,0,IF(CI63=2,((5-Temp3)/4),IF(CI63=3,((10-Temp3)/5),IF(CI63=4,((15-Temp3)/5),IF(CI63=5,((20-Temp3)/5),IF(CI63=6,((25-Temp3)/5),0))))))</f>
        <v>0</v>
      </c>
      <c r="CK63" s="12"/>
      <c r="CL63" s="12"/>
      <c r="CM63" s="245"/>
      <c r="CN63" s="245"/>
      <c r="CO63" s="240" t="str">
        <f>IF(CI62=1,"pH 6-9",IF(CI62=2,"pH 10",""))</f>
        <v/>
      </c>
      <c r="CP63" s="240"/>
      <c r="CQ63" s="12"/>
      <c r="CR63" s="246"/>
      <c r="CS63" s="247"/>
      <c r="CU63" s="235"/>
      <c r="CV63" s="12"/>
      <c r="CW63" s="12"/>
      <c r="CX63" s="6"/>
      <c r="CY63" s="6"/>
      <c r="DA63" s="391"/>
      <c r="DB63" s="391"/>
      <c r="DC63" s="391"/>
      <c r="DD63" s="391"/>
      <c r="DK63" s="241"/>
      <c r="DL63" s="440"/>
      <c r="DM63" s="241"/>
      <c r="DN63" s="241"/>
      <c r="DO63" s="7"/>
    </row>
    <row r="64" spans="1:119" x14ac:dyDescent="0.2">
      <c r="A64" s="28" t="s">
        <v>82</v>
      </c>
      <c r="B64" s="6" t="str">
        <f>IF(DR_3="","",IF(DR_3&lt;=0.4,1,IF(DR_3&lt;=0.6,2,IF(DR_3&lt;=0.8,3,IF(DR_3&lt;=1,4,IF(DR_3&lt;=1.2,5,IF(DR_3&lt;=1.4,6,IF(DR_3&lt;=1.6,7,""))))))))</f>
        <v/>
      </c>
      <c r="C64" s="44" t="str">
        <f>IF(B64=1,0,IF(B64=2,((0.6-'CT Worksheet'!C22)/0.2),IF(B64=3,((0.8-'CT Worksheet'!C22)/0.2),IF(B64=4,((1-'CT Worksheet'!C22)/0.2),IF(B64=5,((1.2-'CT Worksheet'!C22)/0.2),IF(B64=6,((1.4-'CT Worksheet'!C22)/0.2),IF(B64=7,((1.6-'CT Worksheet'!C22)/0.2),"")))))))</f>
        <v/>
      </c>
      <c r="D64" s="6"/>
      <c r="E64" s="6"/>
      <c r="F64" s="22"/>
      <c r="G64" s="6"/>
      <c r="H64" s="40"/>
      <c r="I64" s="45" t="e">
        <f>I59</f>
        <v>#N/A</v>
      </c>
      <c r="J64" s="61" t="str">
        <f>IF(OR(F8="",E69=""),"",HLOOKUP(E69,CTtable,B63+1,FALSE))</f>
        <v/>
      </c>
      <c r="K64" s="42" t="str">
        <f>IF(OR(F8="",D69=""),"",HLOOKUP(D69,CTtable,B63+1,FALSE))</f>
        <v/>
      </c>
      <c r="L64" s="62" t="str">
        <f>IF(OR(F8="",E70=""),"",HLOOKUP(E70,CTtable,B63+1,FALSE))</f>
        <v/>
      </c>
      <c r="M64" s="72" t="str">
        <f>IF(OR(F8="",D70=""),"",HLOOKUP(D70,CTtable,B63+1,FALSE))</f>
        <v/>
      </c>
      <c r="N64" s="22"/>
      <c r="O64" s="63" t="str">
        <f>IF(OR(J64="",L64=""),"",L64-((L64-J64)*C58))</f>
        <v/>
      </c>
      <c r="P64" s="64" t="str">
        <f>IF(OR(M64="",M64=""),"",M64-((M64-K64)*C58))</f>
        <v/>
      </c>
      <c r="Q64" s="65" t="str">
        <f>IF(OR(P64="",O64=""),"",P64-((P64-O64)*C56))</f>
        <v/>
      </c>
      <c r="R64" s="22"/>
      <c r="S64" s="22"/>
      <c r="T64" s="22"/>
      <c r="U64" s="7"/>
      <c r="V64" s="28"/>
      <c r="W64" s="58">
        <v>1.6</v>
      </c>
      <c r="X64" s="75" t="str">
        <f>IF(E67="","",HLOOKUP(E67,CTtable,8,FALSE))</f>
        <v/>
      </c>
      <c r="Y64" s="22" t="str">
        <f>IF(D67="","",HLOOKUP(D67,CTtable,8,FALSE))</f>
        <v/>
      </c>
      <c r="Z64" s="75" t="str">
        <f>IF(E68="","",HLOOKUP(E68,CTtable,8,FALSE))</f>
        <v/>
      </c>
      <c r="AA64" s="73" t="str">
        <f>IF(D68="","",HLOOKUP(D68,CTtable,8,FALSE))</f>
        <v/>
      </c>
      <c r="AB64" s="75" t="str">
        <f>IF(E69="","",HLOOKUP(E69,CTtable,8,FALSE))</f>
        <v/>
      </c>
      <c r="AC64" s="22" t="str">
        <f>IF(D69="","",HLOOKUP(D69,CTtable,8,FALSE))</f>
        <v/>
      </c>
      <c r="AD64" s="75" t="str">
        <f>IF(E70="","",HLOOKUP(E70,CTtable,8,FALSE))</f>
        <v/>
      </c>
      <c r="AE64" s="73" t="str">
        <f>IF($D$70="","",HLOOKUP($D$70,CTtable,8,FALSE))</f>
        <v/>
      </c>
      <c r="AF64" s="6"/>
      <c r="AG64" s="78" t="str">
        <f t="shared" si="23"/>
        <v/>
      </c>
      <c r="AH64" s="79" t="str">
        <f t="shared" si="24"/>
        <v/>
      </c>
      <c r="AI64" s="78" t="str">
        <f t="shared" si="25"/>
        <v/>
      </c>
      <c r="AJ64" s="79" t="str">
        <f t="shared" si="26"/>
        <v/>
      </c>
      <c r="AK64" s="22"/>
      <c r="AL64" s="100" t="str">
        <f t="shared" si="27"/>
        <v/>
      </c>
      <c r="AM64" s="108" t="str">
        <f t="shared" si="28"/>
        <v/>
      </c>
      <c r="AN64" s="95" t="str">
        <f t="shared" si="29"/>
        <v/>
      </c>
      <c r="AO64" s="7"/>
      <c r="AQ64" s="28"/>
      <c r="AR64" s="6"/>
      <c r="AS64" s="6"/>
      <c r="AT64" s="6"/>
      <c r="BF64" s="7"/>
      <c r="BH64" s="235" t="s">
        <v>86</v>
      </c>
      <c r="BI64" s="12" t="str">
        <f>IF(BI63="","",IF(Temp3&gt;=25,6,IF(BI63&gt;=2,BI63-1,1)))</f>
        <v/>
      </c>
      <c r="BJ64" s="12"/>
      <c r="BK64" s="12"/>
      <c r="BL64" s="12"/>
      <c r="BM64" s="619" t="s">
        <v>443</v>
      </c>
      <c r="BN64" s="619"/>
      <c r="BO64" s="240"/>
      <c r="BP64" s="241" t="s">
        <v>497</v>
      </c>
      <c r="BQ64" s="241"/>
      <c r="BR64" s="81" t="s">
        <v>58</v>
      </c>
      <c r="BS64" s="236"/>
      <c r="BT64" s="234"/>
      <c r="BU64" s="235" t="s">
        <v>86</v>
      </c>
      <c r="BV64" s="12" t="str">
        <f>IF(BV63="","",IF(Temp3&gt;=25,6,IF(BV63&gt;=2,BV63-1,1)))</f>
        <v/>
      </c>
      <c r="BW64" s="12"/>
      <c r="BX64" s="12"/>
      <c r="BY64" s="12"/>
      <c r="BZ64" s="619" t="s">
        <v>443</v>
      </c>
      <c r="CA64" s="619"/>
      <c r="CB64" s="240"/>
      <c r="CC64" s="241" t="s">
        <v>497</v>
      </c>
      <c r="CD64" s="241"/>
      <c r="CE64" s="81" t="s">
        <v>58</v>
      </c>
      <c r="CF64" s="236"/>
      <c r="CG64" s="234"/>
      <c r="CH64" s="235" t="s">
        <v>86</v>
      </c>
      <c r="CI64" s="12" t="str">
        <f>IF(CI63="","",IF(Temp3&gt;=25,6,IF(CI63&gt;=2,CI63-1,1)))</f>
        <v/>
      </c>
      <c r="CJ64" s="12"/>
      <c r="CK64" s="12"/>
      <c r="CL64" s="12"/>
      <c r="CM64" s="12"/>
      <c r="CN64" s="12"/>
      <c r="CO64" s="12"/>
      <c r="CP64" s="12"/>
      <c r="CQ64" s="12"/>
      <c r="CR64" s="12"/>
      <c r="CS64" s="236"/>
      <c r="CU64" s="235"/>
      <c r="CV64" s="12"/>
      <c r="CW64" s="190"/>
      <c r="CX64" s="6"/>
      <c r="CY64" s="6"/>
      <c r="CZ64" s="22"/>
      <c r="DA64" s="6"/>
      <c r="DB64" s="36"/>
      <c r="DC64" s="243"/>
      <c r="DD64" s="241"/>
      <c r="DE64" s="241"/>
      <c r="DF64" s="241"/>
      <c r="DG64" s="241"/>
      <c r="DH64" s="241"/>
      <c r="DI64" s="241"/>
      <c r="DJ64" s="241"/>
      <c r="DK64" s="241"/>
      <c r="DL64" s="440"/>
      <c r="DM64" s="241"/>
      <c r="DN64" s="241"/>
      <c r="DO64" s="7"/>
    </row>
    <row r="65" spans="1:119" ht="13.5" thickBot="1" x14ac:dyDescent="0.25">
      <c r="A65" s="28" t="s">
        <v>83</v>
      </c>
      <c r="B65" s="6" t="str">
        <f>IF(OR(B64&lt;&gt;"",DR_3=""),"",IF(DR_3&lt;=1.8,8,IF(DR_3&lt;=2,9,IF(DR_3&lt;=2.2,10,IF(DR_3&lt;=2.4,11,IF(DR_3&lt;=2.6,12,IF(DR_3&lt;=2.8,13,IF('CT Worksheet'!C22&lt;=3,14,15))))))))</f>
        <v/>
      </c>
      <c r="C65" s="44" t="str">
        <f>IF(B65=8,((1.8-'CT Worksheet'!C22)/0.2),IF(B65=9,((2-'CT Worksheet'!C22)/0.2),IF(B65=10,((2.2-'CT Worksheet'!C22)/0.2),IF(B65=11,((2.4-'CT Worksheet'!C22)/0.2),IF(B65=12,((2.6-'CT Worksheet'!C22)/0.2),IF(B65=13,((2.8-'CT Worksheet'!C22)/0.2),IF(B65=14,((3-'CT Worksheet'!C22)/0.2),IF(B65=15,0,""))))))))</f>
        <v/>
      </c>
      <c r="D65" s="6"/>
      <c r="E65" s="46"/>
      <c r="F65" s="130"/>
      <c r="G65" s="6"/>
      <c r="H65" s="40"/>
      <c r="I65" s="45" t="e">
        <f>I60</f>
        <v>#N/A</v>
      </c>
      <c r="J65" s="67" t="str">
        <f>IF(OR(F8="",E69=""),"",HLOOKUP(E69,CTtable,IF(B62=15,B62,B62+1),FALSE))</f>
        <v/>
      </c>
      <c r="K65" s="59" t="str">
        <f>IF(OR(F8="",D69=""),"",HLOOKUP(D69,CTtable,IF(B62=15,B62,B62+1),FALSE))</f>
        <v/>
      </c>
      <c r="L65" s="60" t="str">
        <f>IF(OR(F8="",E70=""),"",HLOOKUP(E70,CTtable,IF(B62=15,B62,B62+1),FALSE))</f>
        <v/>
      </c>
      <c r="M65" s="73" t="str">
        <f>IF(OR(F8="",D70=""),"",HLOOKUP(D70,CTtable,IF(B62=15,B62,B62+1),FALSE))</f>
        <v/>
      </c>
      <c r="N65" s="22"/>
      <c r="O65" s="69" t="str">
        <f>IF(OR(J65="",L65=""),"",L65-((L65-J65)*C58))</f>
        <v/>
      </c>
      <c r="P65" s="70" t="str">
        <f>IF(OR(M65="",M65=""),"",M65-((M65-K65)*C58))</f>
        <v/>
      </c>
      <c r="Q65" s="71" t="str">
        <f>IF(OR(P65="",O65=""),"",P65-((P65-O65)*C56))</f>
        <v/>
      </c>
      <c r="R65" s="22"/>
      <c r="S65" s="22"/>
      <c r="T65" s="22"/>
      <c r="U65" s="7"/>
      <c r="V65" s="28"/>
      <c r="W65" s="58">
        <v>1.8</v>
      </c>
      <c r="X65" s="75" t="str">
        <f>IF(E67="","",HLOOKUP(E67,CTtable,9,FALSE))</f>
        <v/>
      </c>
      <c r="Y65" s="22" t="str">
        <f>IF(D67="","",HLOOKUP(D67,CTtable,9,FALSE))</f>
        <v/>
      </c>
      <c r="Z65" s="75" t="str">
        <f>IF(E68="","",HLOOKUP(E68,CTtable,9,FALSE))</f>
        <v/>
      </c>
      <c r="AA65" s="73" t="str">
        <f>IF(D68="","",HLOOKUP(D68,CTtable,9,FALSE))</f>
        <v/>
      </c>
      <c r="AB65" s="75" t="str">
        <f>IF(E69="","",HLOOKUP(E69,CTtable,9,FALSE))</f>
        <v/>
      </c>
      <c r="AC65" s="22" t="str">
        <f>IF(D69="","",HLOOKUP(D69,CTtable,9,FALSE))</f>
        <v/>
      </c>
      <c r="AD65" s="75" t="str">
        <f>IF(E70="","",HLOOKUP(E70,CTtable,9,FALSE))</f>
        <v/>
      </c>
      <c r="AE65" s="73" t="str">
        <f>IF($D$70="","",HLOOKUP($D$70,CTtable,9,FALSE))</f>
        <v/>
      </c>
      <c r="AF65" s="6"/>
      <c r="AG65" s="78" t="str">
        <f t="shared" si="23"/>
        <v/>
      </c>
      <c r="AH65" s="79" t="str">
        <f t="shared" si="24"/>
        <v/>
      </c>
      <c r="AI65" s="78" t="str">
        <f t="shared" si="25"/>
        <v/>
      </c>
      <c r="AJ65" s="79" t="str">
        <f t="shared" si="26"/>
        <v/>
      </c>
      <c r="AK65" s="22"/>
      <c r="AL65" s="100" t="str">
        <f t="shared" si="27"/>
        <v/>
      </c>
      <c r="AM65" s="108" t="str">
        <f t="shared" si="28"/>
        <v/>
      </c>
      <c r="AN65" s="95" t="str">
        <f t="shared" si="29"/>
        <v/>
      </c>
      <c r="AO65" s="7"/>
      <c r="AQ65" s="28"/>
      <c r="AR65" s="6"/>
      <c r="AS65" s="6"/>
      <c r="AT65" s="6"/>
      <c r="AU65" s="6"/>
      <c r="AV65" s="6"/>
      <c r="AW65" s="6"/>
      <c r="AX65" s="6"/>
      <c r="AY65" s="6"/>
      <c r="AZ65" s="6"/>
      <c r="BA65" s="6"/>
      <c r="BB65" s="6"/>
      <c r="BC65" s="6"/>
      <c r="BD65" s="6"/>
      <c r="BE65" s="6"/>
      <c r="BF65" s="7"/>
      <c r="BH65" s="235"/>
      <c r="BI65" s="12"/>
      <c r="BJ65" s="12"/>
      <c r="BK65" s="12"/>
      <c r="BL65" s="12"/>
      <c r="BM65" s="81" t="e">
        <f>HLOOKUP(BI61,ClOvTable,2,FALSE)</f>
        <v>#N/A</v>
      </c>
      <c r="BN65" s="81" t="e">
        <f>HLOOKUP(BI60,ClOvTable,2,FALSE)</f>
        <v>#N/A</v>
      </c>
      <c r="BO65" s="81"/>
      <c r="BP65" s="24" t="str">
        <f>CONCATENATE(logVirusR,"-log")</f>
        <v>-log</v>
      </c>
      <c r="BQ65" s="12"/>
      <c r="BR65" s="211" t="str">
        <f>CONCATENATE('CT Worksheet'!C21,'CT Worksheet'!D21)</f>
        <v/>
      </c>
      <c r="BS65" s="238"/>
      <c r="BT65" s="12"/>
      <c r="BU65" s="235"/>
      <c r="BV65" s="12"/>
      <c r="BW65" s="12"/>
      <c r="BX65" s="12"/>
      <c r="BY65" s="12"/>
      <c r="BZ65" s="81" t="e">
        <f>HLOOKUP(BV61,O3vTable,2,FALSE)</f>
        <v>#N/A</v>
      </c>
      <c r="CA65" s="81" t="e">
        <f>HLOOKUP(BV60,O3vTable,2,FALSE)</f>
        <v>#N/A</v>
      </c>
      <c r="CB65" s="81"/>
      <c r="CC65" s="24" t="str">
        <f>CONCATENATE(logVirusR,"-log")</f>
        <v>-log</v>
      </c>
      <c r="CD65" s="12"/>
      <c r="CE65" s="211" t="str">
        <f>CONCATENATE('CT Worksheet'!C21,'CT Worksheet'!D21)</f>
        <v/>
      </c>
      <c r="CF65" s="238"/>
      <c r="CG65" s="234"/>
      <c r="CH65" s="235"/>
      <c r="CI65" s="12"/>
      <c r="CJ65" s="12"/>
      <c r="CK65" s="12"/>
      <c r="CL65" s="12"/>
      <c r="CM65" s="12"/>
      <c r="CN65" s="12"/>
      <c r="CO65" s="12"/>
      <c r="CP65" s="622" t="s">
        <v>498</v>
      </c>
      <c r="CQ65" s="622"/>
      <c r="CR65" s="622"/>
      <c r="CS65" s="238"/>
      <c r="CU65" s="235"/>
      <c r="CV65" s="12"/>
      <c r="CW65" s="190"/>
      <c r="CX65" s="6"/>
      <c r="CY65" s="46"/>
      <c r="CZ65" s="130"/>
      <c r="DA65" s="6"/>
      <c r="DB65" s="36"/>
      <c r="DC65" s="243"/>
      <c r="DD65" s="241"/>
      <c r="DE65" s="241"/>
      <c r="DF65" s="241"/>
      <c r="DG65" s="241"/>
      <c r="DH65" s="241"/>
      <c r="DI65" s="241"/>
      <c r="DJ65" s="241"/>
      <c r="DK65" s="241"/>
      <c r="DL65" s="440"/>
      <c r="DM65" s="241"/>
      <c r="DN65" s="241"/>
      <c r="DO65" s="7"/>
    </row>
    <row r="66" spans="1:119" ht="13.5" thickBot="1" x14ac:dyDescent="0.25">
      <c r="A66" s="28"/>
      <c r="B66" s="6"/>
      <c r="C66" s="6"/>
      <c r="D66" s="6"/>
      <c r="E66" s="6"/>
      <c r="F66" s="22" t="s">
        <v>430</v>
      </c>
      <c r="G66" s="6"/>
      <c r="H66" s="6"/>
      <c r="I66" s="6"/>
      <c r="J66" s="566" t="e">
        <f>CONCATENATE("pH ",HLOOKUP(D69,CTtable,17,FALSE),", ",HLOOKUP(D69,CTtable,18,FALSE),"C")</f>
        <v>#N/A</v>
      </c>
      <c r="K66" s="567"/>
      <c r="L66" s="568" t="e">
        <f>CONCATENATE("pH ",HLOOKUP(D70,CTtable,17,FALSE),", ",HLOOKUP(D70,CTtable,18,FALSE),"C")</f>
        <v>#N/A</v>
      </c>
      <c r="M66" s="566"/>
      <c r="N66" s="6"/>
      <c r="O66" s="613" t="e">
        <f>CONCATENATE("pH ",'CT Worksheet'!C23,", ",HLOOKUP(D69,CTtable,18,FALSE),"C")</f>
        <v>#N/A</v>
      </c>
      <c r="P66" s="613"/>
      <c r="Q66" s="613"/>
      <c r="R66" s="6"/>
      <c r="S66" s="6"/>
      <c r="T66" s="6"/>
      <c r="U66" s="7"/>
      <c r="V66" s="28"/>
      <c r="W66" s="58">
        <v>2</v>
      </c>
      <c r="X66" s="75" t="str">
        <f>IF(E67="","",HLOOKUP(E67,CTtable,10,FALSE))</f>
        <v/>
      </c>
      <c r="Y66" s="22" t="str">
        <f>IF(D67="","",HLOOKUP(D67,CTtable,10,FALSE))</f>
        <v/>
      </c>
      <c r="Z66" s="75" t="str">
        <f>IF(E68="","",HLOOKUP(E68,CTtable,10,FALSE))</f>
        <v/>
      </c>
      <c r="AA66" s="73" t="str">
        <f>IF(D68="","",HLOOKUP(D68,CTtable,10,FALSE))</f>
        <v/>
      </c>
      <c r="AB66" s="75" t="str">
        <f>IF(E69="","",HLOOKUP(E69,CTtable,10,FALSE))</f>
        <v/>
      </c>
      <c r="AC66" s="22" t="str">
        <f>IF(D69="","",HLOOKUP(D69,CTtable,10,FALSE))</f>
        <v/>
      </c>
      <c r="AD66" s="75" t="str">
        <f>IF(E70="","",HLOOKUP(E70,CTtable,10,FALSE))</f>
        <v/>
      </c>
      <c r="AE66" s="73" t="str">
        <f>IF($D$70="","",HLOOKUP($D$70,CTtable,10,FALSE))</f>
        <v/>
      </c>
      <c r="AF66" s="6"/>
      <c r="AG66" s="78" t="str">
        <f t="shared" si="23"/>
        <v/>
      </c>
      <c r="AH66" s="79" t="str">
        <f t="shared" si="24"/>
        <v/>
      </c>
      <c r="AI66" s="78" t="str">
        <f t="shared" si="25"/>
        <v/>
      </c>
      <c r="AJ66" s="79" t="str">
        <f t="shared" si="26"/>
        <v/>
      </c>
      <c r="AK66" s="22"/>
      <c r="AL66" s="100" t="str">
        <f t="shared" si="27"/>
        <v/>
      </c>
      <c r="AM66" s="108" t="str">
        <f t="shared" si="28"/>
        <v/>
      </c>
      <c r="AN66" s="95" t="str">
        <f t="shared" si="29"/>
        <v/>
      </c>
      <c r="AO66" s="7"/>
      <c r="AQ66" s="183" t="s">
        <v>464</v>
      </c>
      <c r="AR66" s="35"/>
      <c r="AS66" s="42" t="str">
        <f>IF(OR(AR58="",AR61="",AR60=3),"",CONCATENATE(AR61,"-",AR58))</f>
        <v/>
      </c>
      <c r="AT66" s="72" t="str">
        <f>IF(OR(AR59="",AR61="",AR60=3),"",IF(AR59=0,0,CONCATENATE(AR61,"-",AR59)))</f>
        <v/>
      </c>
      <c r="AU66" s="6"/>
      <c r="AV66" s="6"/>
      <c r="AW66" s="6"/>
      <c r="AX66" s="6"/>
      <c r="AY66" s="6"/>
      <c r="AZ66" s="6"/>
      <c r="BA66" s="6"/>
      <c r="BB66" s="6"/>
      <c r="BC66" s="6"/>
      <c r="BD66" s="6"/>
      <c r="BE66" s="6"/>
      <c r="BF66" s="7"/>
      <c r="BH66" s="327" t="s">
        <v>608</v>
      </c>
      <c r="BI66" s="343" t="str">
        <f>IF(OR(logCryptoR="",'CT Worksheet'!B22&lt;&gt;"Chlorine Dioxide"),"",IF((logCryptoR&lt;=0.25),1,IF((logCryptoR&lt;=0.5),2,IF((logCryptoR&lt;=1),3,IF((logCryptoR&lt;=1.5),4,IF((logCryptoR&lt;=2),5,IF((logCryptoR&lt;=2.5),6,7)))))))</f>
        <v/>
      </c>
      <c r="BJ66" s="344">
        <f>IF((BI66=2),((0.5-logCryptoR)/0.25),IF((BI66=3),((1-logCryptoR)/0.5),IF((BI66=4),((1.5-logCryptoR)/0.5),IF((BI66=5),((2-logCryptoR)/0.5),IF((BI66=6),((2.5-logCryptoR)/0.5),IF((BI66=7),((3-logCryptoR)/0.5),IF((BI67=0),((0.25-logCryptoR)/0.25),0)))))))</f>
        <v>0</v>
      </c>
      <c r="BK66" s="12"/>
      <c r="BL66" s="243" t="e">
        <f>CONCATENATE(VLOOKUP(BI64,ClOvTable,2,FALSE)," C")</f>
        <v>#N/A</v>
      </c>
      <c r="BM66" s="244" t="str">
        <f>IF(OR(F8="",BI61="",'CT Worksheet'!C23&gt;9),"",HLOOKUP(BI61,ClOvTable,BI64+2,FALSE))</f>
        <v/>
      </c>
      <c r="BN66" s="244" t="str">
        <f>IF(OR(F8="",BI60="",'CT Worksheet'!C23&gt;9),"",HLOOKUP(BI60,ClOvTable,BI64+2,FALSE))</f>
        <v/>
      </c>
      <c r="BO66" s="81"/>
      <c r="BP66" s="219" t="str">
        <f>IF(OR(BN66="",BM66=""),"",BN66-((BN66-BM66)*BJ60))</f>
        <v/>
      </c>
      <c r="BQ66" s="12"/>
      <c r="BR66" s="182" t="str">
        <f>IF(OR(BP66="",BP67=""),"",BP67-((BP67-BP66)*BJ63))</f>
        <v/>
      </c>
      <c r="BS66" s="236"/>
      <c r="BT66" s="12"/>
      <c r="BU66" s="327" t="s">
        <v>619</v>
      </c>
      <c r="BV66" s="343" t="str">
        <f>IF(OR(logCryptoR="",'CT Worksheet'!B22&lt;&gt;"Ozone"),"",IF((logCryptoR&lt;=0.25),1,IF((logCryptoR&lt;=0.5),2,IF((logCryptoR&lt;=1),3,IF((logCryptoR&lt;=1.5),4,IF((logCryptoR&lt;=2),5,IF((logCryptoR&lt;=2.5),6,7)))))))</f>
        <v/>
      </c>
      <c r="BW66" s="344">
        <f>IF((BV66=2),((0.5-logCryptoR)/0.25),IF((BV66=3),((1-logCryptoR)/0.5),IF((BV66=4),((1.5-logCryptoR)/0.5),IF((BV66=5),((2-logCryptoR)/0.5),IF((BV66=6),((2.5-logCryptoR)/0.5),IF((BV66=7),((3-logCryptoR)/0.5),IF((BV67=0),((0.25-logCryptoR)/0.25),0)))))))</f>
        <v>0</v>
      </c>
      <c r="BX66" s="12"/>
      <c r="BY66" s="243" t="e">
        <f>CONCATENATE(VLOOKUP(BV64,O3gTable,2,FALSE)," C")</f>
        <v>#N/A</v>
      </c>
      <c r="BZ66" s="244" t="str">
        <f>IF(OR(F8="",BV61=""),"",HLOOKUP(BV61,O3vTable,BV64+2,FALSE))</f>
        <v/>
      </c>
      <c r="CA66" s="244" t="str">
        <f>IF(OR(F8="",BV60=""),"",HLOOKUP(BV60,O3vTable,BV64+2,FALSE))</f>
        <v/>
      </c>
      <c r="CB66" s="81"/>
      <c r="CC66" s="219" t="str">
        <f>IF(OR(CA66="",BZ66=""),"",CA66-((CA66-BZ66)*BW60))</f>
        <v/>
      </c>
      <c r="CD66" s="12"/>
      <c r="CE66" s="182" t="str">
        <f>IF(OR(CC66="",CC67=""),"",CC67-((CC67-CC66)*BW63))</f>
        <v/>
      </c>
      <c r="CF66" s="236"/>
      <c r="CG66" s="234"/>
      <c r="CH66" s="235"/>
      <c r="CI66" s="12"/>
      <c r="CJ66" s="12"/>
      <c r="CK66" s="12"/>
      <c r="CL66" s="12"/>
      <c r="CM66" s="619" t="s">
        <v>443</v>
      </c>
      <c r="CN66" s="619"/>
      <c r="CO66" s="240"/>
      <c r="CP66" s="241" t="s">
        <v>497</v>
      </c>
      <c r="CQ66" s="241"/>
      <c r="CR66" s="81" t="s">
        <v>58</v>
      </c>
      <c r="CS66" s="236"/>
      <c r="CU66" s="28"/>
      <c r="CV66" s="6"/>
      <c r="CW66" s="6"/>
      <c r="CX66" s="6"/>
      <c r="CY66" s="12"/>
      <c r="CZ66" s="81"/>
      <c r="DA66" s="6"/>
      <c r="DB66" s="12"/>
      <c r="DC66" s="12"/>
      <c r="DD66" s="241"/>
      <c r="DE66" s="241"/>
      <c r="DF66" s="241"/>
      <c r="DG66" s="241"/>
      <c r="DH66" s="241"/>
      <c r="DI66" s="241"/>
      <c r="DJ66" s="241"/>
      <c r="DK66" s="241"/>
      <c r="DL66" s="440"/>
      <c r="DM66" s="241"/>
      <c r="DN66" s="241"/>
      <c r="DO66" s="7"/>
    </row>
    <row r="67" spans="1:119" ht="13.5" thickBot="1" x14ac:dyDescent="0.25">
      <c r="A67" s="31" t="s">
        <v>51</v>
      </c>
      <c r="B67" s="35"/>
      <c r="C67" s="35"/>
      <c r="D67" s="42" t="str">
        <f>IF(OR(B56="",B58="",B60="",B58=8),"",CONCATENATE(B61,"-",B59,"-",B56))</f>
        <v/>
      </c>
      <c r="E67" s="117" t="str">
        <f>IF((D67=""),"",IF(B57=0,0,CONCATENATE(B61,"-",B59,"-",B57)))</f>
        <v/>
      </c>
      <c r="F67" s="72" t="str">
        <f>IF(D67="","",HLOOKUP(D67,CTtable,19,FALSE))</f>
        <v/>
      </c>
      <c r="G67" s="6"/>
      <c r="H67" s="6"/>
      <c r="I67" s="6"/>
      <c r="J67" s="6"/>
      <c r="K67" s="6"/>
      <c r="L67" s="6"/>
      <c r="M67" s="6"/>
      <c r="N67" s="6"/>
      <c r="O67" s="6"/>
      <c r="P67" s="6"/>
      <c r="Q67" s="6"/>
      <c r="R67" s="6"/>
      <c r="S67" s="6"/>
      <c r="T67" s="6"/>
      <c r="U67" s="7"/>
      <c r="V67" s="28"/>
      <c r="W67" s="58">
        <v>2.2000000000000002</v>
      </c>
      <c r="X67" s="75" t="str">
        <f>IF(E67="","",HLOOKUP(E67,CTtable,11,FALSE))</f>
        <v/>
      </c>
      <c r="Y67" s="22" t="str">
        <f>IF(D67="","",HLOOKUP(D67,CTtable,11,FALSE))</f>
        <v/>
      </c>
      <c r="Z67" s="75" t="str">
        <f>IF(E68="","",HLOOKUP(E68,CTtable,11,FALSE))</f>
        <v/>
      </c>
      <c r="AA67" s="73" t="str">
        <f>IF(D68="","",HLOOKUP(D68,CTtable,11,FALSE))</f>
        <v/>
      </c>
      <c r="AB67" s="75" t="str">
        <f>IF(E69="","",HLOOKUP(E69,CTtable,11,FALSE))</f>
        <v/>
      </c>
      <c r="AC67" s="22" t="str">
        <f>IF(D69="","",HLOOKUP(D69,CTtable,11,FALSE))</f>
        <v/>
      </c>
      <c r="AD67" s="75" t="str">
        <f>IF(E70="","",HLOOKUP(E70,CTtable,11,FALSE))</f>
        <v/>
      </c>
      <c r="AE67" s="73" t="str">
        <f>IF($D$70="","",HLOOKUP($D$70,CTtable,11,FALSE))</f>
        <v/>
      </c>
      <c r="AF67" s="6"/>
      <c r="AG67" s="78" t="str">
        <f t="shared" si="23"/>
        <v/>
      </c>
      <c r="AH67" s="79" t="str">
        <f t="shared" si="24"/>
        <v/>
      </c>
      <c r="AI67" s="78" t="str">
        <f t="shared" si="25"/>
        <v/>
      </c>
      <c r="AJ67" s="79" t="str">
        <f t="shared" si="26"/>
        <v/>
      </c>
      <c r="AK67" s="22"/>
      <c r="AL67" s="100" t="str">
        <f t="shared" si="27"/>
        <v/>
      </c>
      <c r="AM67" s="108" t="str">
        <f t="shared" si="28"/>
        <v/>
      </c>
      <c r="AN67" s="95" t="str">
        <f t="shared" si="29"/>
        <v/>
      </c>
      <c r="AO67" s="7"/>
      <c r="AQ67" s="184" t="s">
        <v>465</v>
      </c>
      <c r="AR67" s="23"/>
      <c r="AS67" s="59" t="str">
        <f>IF(OR(AR58="",AR61="",AR60=3),"",CONCATENATE(AR60,"-",AR58))</f>
        <v/>
      </c>
      <c r="AT67" s="74" t="str">
        <f>IF(OR(AR60="",AR59="",AR60=3),"",IF(AR59=0,0,CONCATENATE(AR60,"-",AR59)))</f>
        <v/>
      </c>
      <c r="AU67" s="6"/>
      <c r="AV67" s="6"/>
      <c r="AW67" s="6"/>
      <c r="AX67" s="6"/>
      <c r="AY67" s="6"/>
      <c r="AZ67" s="6"/>
      <c r="BA67" s="6"/>
      <c r="BB67" s="6"/>
      <c r="BC67" s="6"/>
      <c r="BD67" s="6"/>
      <c r="BE67" s="6"/>
      <c r="BF67" s="7"/>
      <c r="BH67" s="327" t="s">
        <v>609</v>
      </c>
      <c r="BI67" s="343" t="str">
        <f>IF((BI66=""),"",IF((BI66&gt;=2),(BI66-1),IF((logCryptoR&lt;0.25),0,1)))</f>
        <v/>
      </c>
      <c r="BJ67" s="335"/>
      <c r="BK67" s="12"/>
      <c r="BL67" s="243" t="e">
        <f>CONCATENATE(VLOOKUP(BI63,ClOvTable,2,FALSE)," C")</f>
        <v>#N/A</v>
      </c>
      <c r="BM67" s="244" t="str">
        <f>IF(OR(F8="",BI61="",'CT Worksheet'!C23&gt;9),"",HLOOKUP(BI61,ClOvTable,BI63+2,FALSE))</f>
        <v/>
      </c>
      <c r="BN67" s="244" t="str">
        <f>IF(OR(F8="",BI60="",'CT Worksheet'!C23&gt;9),"",HLOOKUP(BI60,ClOvTable,BI63+2,FALSE))</f>
        <v/>
      </c>
      <c r="BO67" s="81"/>
      <c r="BP67" s="220" t="str">
        <f>IF(OR(BN67="",BM67=""),"",BN67-((BN67-BM67)*BJ60))</f>
        <v/>
      </c>
      <c r="BQ67" s="12"/>
      <c r="BR67" s="181"/>
      <c r="BS67" s="242"/>
      <c r="BT67" s="12"/>
      <c r="BU67" s="327" t="s">
        <v>620</v>
      </c>
      <c r="BV67" s="343" t="str">
        <f>IF((BV66=""),"",IF((BV66&gt;=2),(BV66-1),IF((logCryptoR&lt;0.25),0,1)))</f>
        <v/>
      </c>
      <c r="BW67" s="335"/>
      <c r="BX67" s="12"/>
      <c r="BY67" s="243" t="e">
        <f>CONCATENATE(VLOOKUP(BV63,O3gTable,2,FALSE)," C")</f>
        <v>#N/A</v>
      </c>
      <c r="BZ67" s="244" t="str">
        <f>IF(OR(F8="",BV61=""),"",HLOOKUP(BV61,O3vTable,BV63+2,FALSE))</f>
        <v/>
      </c>
      <c r="CA67" s="244" t="str">
        <f>IF(OR(F8="",BV60=""),"",HLOOKUP(BV60,O3vTable,BV63+2,FALSE))</f>
        <v/>
      </c>
      <c r="CB67" s="81"/>
      <c r="CC67" s="220" t="str">
        <f>IF(OR(CA67="",BZ67=""),"",CA67-((CA67-BZ67)*BW60))</f>
        <v/>
      </c>
      <c r="CD67" s="12"/>
      <c r="CE67" s="181"/>
      <c r="CF67" s="242"/>
      <c r="CG67" s="234"/>
      <c r="CH67" s="235"/>
      <c r="CI67" s="12"/>
      <c r="CJ67" s="12"/>
      <c r="CK67" s="12"/>
      <c r="CL67" s="12"/>
      <c r="CM67" s="81" t="e">
        <f>HLOOKUP(CI61,ChloramineTableV,2,FALSE)</f>
        <v>#N/A</v>
      </c>
      <c r="CN67" s="81" t="e">
        <f>HLOOKUP(CI60,ChloramineTableV,2,FALSE)</f>
        <v>#N/A</v>
      </c>
      <c r="CO67" s="81"/>
      <c r="CP67" s="211" t="str">
        <f>CONCATENATE(logGiardiaR,"-log")</f>
        <v>-log</v>
      </c>
      <c r="CQ67" s="12"/>
      <c r="CR67" s="211" t="str">
        <f>CONCATENATE('CT Worksheet'!C11,'CT Worksheet'!D11)</f>
        <v/>
      </c>
      <c r="CS67" s="242"/>
      <c r="CU67" s="183" t="s">
        <v>464</v>
      </c>
      <c r="CV67" s="35"/>
      <c r="CW67" s="117" t="str">
        <f>IF(OR(CV56="",CV59="",CV59=0),"",CONCATENATE(CV59,"-",CV56))</f>
        <v/>
      </c>
      <c r="CX67" s="118" t="str">
        <f>IF(OR(CV57="",CV59="",CV59=0),"",CONCATENATE(CV59,"-",CV57))</f>
        <v/>
      </c>
      <c r="CY67" s="81"/>
      <c r="CZ67" s="81"/>
      <c r="DA67" s="6"/>
      <c r="DB67" s="12"/>
      <c r="DC67" s="12"/>
      <c r="DD67" s="241"/>
      <c r="DE67" s="241"/>
      <c r="DF67" s="241"/>
      <c r="DG67" s="241"/>
      <c r="DH67" s="241"/>
      <c r="DI67" s="241"/>
      <c r="DJ67" s="241"/>
      <c r="DK67" s="241"/>
      <c r="DL67" s="440"/>
      <c r="DM67" s="241"/>
      <c r="DN67" s="241"/>
      <c r="DO67" s="7"/>
    </row>
    <row r="68" spans="1:119" ht="13.5" thickBot="1" x14ac:dyDescent="0.25">
      <c r="A68" s="1" t="s">
        <v>52</v>
      </c>
      <c r="B68" s="6"/>
      <c r="C68" s="6"/>
      <c r="D68" s="22" t="str">
        <f>IF(OR(B56="",B58="",B60="",B58=8),"",CONCATENATE(B61,"-",B58,"-",B56))</f>
        <v/>
      </c>
      <c r="E68" s="81" t="str">
        <f>IF(D68="","",IF(B57=0,0,CONCATENATE(B61,"-",B58,"-",B57)))</f>
        <v/>
      </c>
      <c r="F68" s="73" t="str">
        <f>IF(D68="","",HLOOKUP(D68,CTtable,19,FALSE))</f>
        <v/>
      </c>
      <c r="G68" s="6"/>
      <c r="H68" s="6"/>
      <c r="I68" s="6"/>
      <c r="J68" s="6"/>
      <c r="K68" s="6"/>
      <c r="L68" s="6"/>
      <c r="M68" s="6"/>
      <c r="N68" s="6"/>
      <c r="O68" s="6"/>
      <c r="P68" s="6"/>
      <c r="Q68" s="6"/>
      <c r="R68" s="6"/>
      <c r="S68" s="6"/>
      <c r="T68" s="6"/>
      <c r="U68" s="7"/>
      <c r="V68" s="28"/>
      <c r="W68" s="58">
        <v>2.4</v>
      </c>
      <c r="X68" s="75" t="str">
        <f>IF(E67="","",HLOOKUP(E67,CTtable,12,FALSE))</f>
        <v/>
      </c>
      <c r="Y68" s="22" t="str">
        <f>IF(D67="","",HLOOKUP(D67,CTtable,12,FALSE))</f>
        <v/>
      </c>
      <c r="Z68" s="75" t="str">
        <f>IF(E68="","",HLOOKUP(E68,CTtable,12,FALSE))</f>
        <v/>
      </c>
      <c r="AA68" s="73" t="str">
        <f>IF(D68="","",HLOOKUP(D68,CTtable,12,FALSE))</f>
        <v/>
      </c>
      <c r="AB68" s="75" t="str">
        <f>IF(E69="","",HLOOKUP(E69,CTtable,12,FALSE))</f>
        <v/>
      </c>
      <c r="AC68" s="22" t="str">
        <f>IF(D69="","",HLOOKUP(D69,CTtable,12,FALSE))</f>
        <v/>
      </c>
      <c r="AD68" s="75" t="str">
        <f>IF(E70="","",HLOOKUP(E70,CTtable,12,FALSE))</f>
        <v/>
      </c>
      <c r="AE68" s="73" t="str">
        <f>IF($D$70="","",HLOOKUP($D$70,CTtable,12,FALSE))</f>
        <v/>
      </c>
      <c r="AF68" s="6"/>
      <c r="AG68" s="78" t="str">
        <f t="shared" si="23"/>
        <v/>
      </c>
      <c r="AH68" s="79" t="str">
        <f t="shared" si="24"/>
        <v/>
      </c>
      <c r="AI68" s="78" t="str">
        <f t="shared" si="25"/>
        <v/>
      </c>
      <c r="AJ68" s="79" t="str">
        <f t="shared" si="26"/>
        <v/>
      </c>
      <c r="AK68" s="22"/>
      <c r="AL68" s="100" t="str">
        <f t="shared" si="27"/>
        <v/>
      </c>
      <c r="AM68" s="108" t="str">
        <f t="shared" si="28"/>
        <v/>
      </c>
      <c r="AN68" s="95" t="str">
        <f t="shared" si="29"/>
        <v/>
      </c>
      <c r="AO68" s="7"/>
      <c r="AQ68" s="28"/>
      <c r="AR68" s="6"/>
      <c r="AS68" s="6"/>
      <c r="AT68" s="6"/>
      <c r="AU68" s="6"/>
      <c r="AV68" s="6"/>
      <c r="AW68" s="6"/>
      <c r="AX68" s="6"/>
      <c r="AY68" s="6"/>
      <c r="AZ68" s="6"/>
      <c r="BA68" s="6"/>
      <c r="BB68" s="6"/>
      <c r="BC68" s="6"/>
      <c r="BD68" s="6"/>
      <c r="BE68" s="6"/>
      <c r="BF68" s="7"/>
      <c r="BH68" s="327" t="s">
        <v>610</v>
      </c>
      <c r="BI68" s="12" t="str">
        <f>IF(BI70&lt;&gt;"",BI70,IF(BI71=15,14,BI71))</f>
        <v/>
      </c>
      <c r="BJ68" s="190" t="str">
        <f>IF(BJ70="",BJ71,BJ70)</f>
        <v/>
      </c>
      <c r="BK68" s="12"/>
      <c r="BS68" s="222"/>
      <c r="BT68" s="12"/>
      <c r="BU68" s="327" t="s">
        <v>610</v>
      </c>
      <c r="BV68" s="12" t="str">
        <f>IF(BV70&lt;&gt;"",BV70,IF(BV71=15,14,BV71))</f>
        <v/>
      </c>
      <c r="BW68" s="190" t="str">
        <f>IF(BW70="",BW71,BW70)</f>
        <v/>
      </c>
      <c r="BX68" s="12"/>
      <c r="CF68" s="222"/>
      <c r="CG68" s="234"/>
      <c r="CH68" s="235"/>
      <c r="CI68" s="12"/>
      <c r="CJ68" s="12"/>
      <c r="CK68" s="12"/>
      <c r="CL68" s="243" t="e">
        <f>CONCATENATE(VLOOKUP(CI64,ChloramineTableV,2,FALSE)," C")</f>
        <v>#N/A</v>
      </c>
      <c r="CM68" s="244" t="str">
        <f>IF(OR(F8="",CI61=""),"",HLOOKUP(CI61,ChloramineTableV,CI64+2,FALSE))</f>
        <v/>
      </c>
      <c r="CN68" s="244" t="str">
        <f>IF(OR(F8="",CI60=""),"",HLOOKUP(CI60,ChloramineTableV,CI64+2,FALSE))</f>
        <v/>
      </c>
      <c r="CO68" s="81"/>
      <c r="CP68" s="219" t="str">
        <f>IF(OR(CN68="",CM68=""),"",CN68-((CN68-CM68)*CJ60))</f>
        <v/>
      </c>
      <c r="CQ68" s="12"/>
      <c r="CR68" s="182" t="str">
        <f>IF(OR(CP68="",CP69=""),"",CP69-((CP69-CP68)*CJ63))</f>
        <v/>
      </c>
      <c r="CS68" s="222"/>
      <c r="CU68" s="184" t="s">
        <v>465</v>
      </c>
      <c r="CV68" s="23"/>
      <c r="CW68" s="120" t="str">
        <f>IF(OR(CV56="",CV58="",CV58=0),"",CONCATENATE(CV58,"-",CV56))</f>
        <v/>
      </c>
      <c r="CX68" s="121" t="str">
        <f>IF(OR(CV57="",CV58="",CV58=0),"",CONCATENATE(CV58,"-",CV57))</f>
        <v/>
      </c>
      <c r="CY68" s="81"/>
      <c r="CZ68" s="81"/>
      <c r="DA68" s="6"/>
      <c r="DB68" s="12"/>
      <c r="DC68" s="12"/>
      <c r="DD68" s="241"/>
      <c r="DE68" s="241"/>
      <c r="DF68" s="241"/>
      <c r="DG68" s="241"/>
      <c r="DH68" s="241"/>
      <c r="DI68" s="241"/>
      <c r="DJ68" s="241"/>
      <c r="DK68" s="241"/>
      <c r="DL68" s="440"/>
      <c r="DM68" s="241"/>
      <c r="DN68" s="241"/>
      <c r="DO68" s="7"/>
    </row>
    <row r="69" spans="1:119" x14ac:dyDescent="0.2">
      <c r="A69" s="1" t="s">
        <v>53</v>
      </c>
      <c r="B69" s="6"/>
      <c r="C69" s="6"/>
      <c r="D69" s="22" t="str">
        <f>IF(OR(B56="",B58="",B60="",B58=8),"",CONCATENATE(B60,"-",B59,"-",B56))</f>
        <v/>
      </c>
      <c r="E69" s="81" t="str">
        <f>IF(D69="","",IF(B57=0,0,CONCATENATE(B60,"-",B59,"-",B57)))</f>
        <v/>
      </c>
      <c r="F69" s="73" t="str">
        <f>IF(D69="","",HLOOKUP(D69,CTtable,19,FALSE))</f>
        <v/>
      </c>
      <c r="G69" s="6"/>
      <c r="H69" s="6"/>
      <c r="I69" s="6"/>
      <c r="J69" s="6"/>
      <c r="K69" s="6"/>
      <c r="L69" s="6"/>
      <c r="M69" s="6"/>
      <c r="N69" s="6"/>
      <c r="O69" s="6"/>
      <c r="P69" s="6"/>
      <c r="Q69" s="6"/>
      <c r="R69" s="6"/>
      <c r="S69" s="6"/>
      <c r="T69" s="6"/>
      <c r="U69" s="7"/>
      <c r="V69" s="28"/>
      <c r="W69" s="58">
        <v>2.6</v>
      </c>
      <c r="X69" s="75" t="str">
        <f>IF(E67="","",HLOOKUP(E67,CTtable,13,FALSE))</f>
        <v/>
      </c>
      <c r="Y69" s="22" t="str">
        <f>IF(D67="","",HLOOKUP(D67,CTtable,13,FALSE))</f>
        <v/>
      </c>
      <c r="Z69" s="75" t="str">
        <f>IF(E68="","",HLOOKUP(E68,CTtable,13,FALSE))</f>
        <v/>
      </c>
      <c r="AA69" s="73" t="str">
        <f>IF(D68="","",HLOOKUP(D68,CTtable,13,FALSE))</f>
        <v/>
      </c>
      <c r="AB69" s="75" t="str">
        <f>IF(E69="","",HLOOKUP(E69,CTtable,13,FALSE))</f>
        <v/>
      </c>
      <c r="AC69" s="22" t="str">
        <f>IF(D69="","",HLOOKUP(D69,CTtable,13,FALSE))</f>
        <v/>
      </c>
      <c r="AD69" s="75" t="str">
        <f>IF(E70="","",HLOOKUP(E70,CTtable,13,FALSE))</f>
        <v/>
      </c>
      <c r="AE69" s="73" t="str">
        <f>IF($D$70="","",HLOOKUP($D$70,CTtable,13,FALSE))</f>
        <v/>
      </c>
      <c r="AF69" s="6"/>
      <c r="AG69" s="78" t="str">
        <f t="shared" si="23"/>
        <v/>
      </c>
      <c r="AH69" s="79" t="str">
        <f t="shared" si="24"/>
        <v/>
      </c>
      <c r="AI69" s="78" t="str">
        <f t="shared" si="25"/>
        <v/>
      </c>
      <c r="AJ69" s="79" t="str">
        <f t="shared" si="26"/>
        <v/>
      </c>
      <c r="AK69" s="22"/>
      <c r="AL69" s="100" t="str">
        <f t="shared" si="27"/>
        <v/>
      </c>
      <c r="AM69" s="108" t="str">
        <f t="shared" si="28"/>
        <v/>
      </c>
      <c r="AN69" s="95" t="str">
        <f t="shared" si="29"/>
        <v/>
      </c>
      <c r="AO69" s="7"/>
      <c r="AQ69" s="28"/>
      <c r="AR69" s="6"/>
      <c r="AS69" s="6"/>
      <c r="AT69" s="6"/>
      <c r="AU69" s="6"/>
      <c r="AV69" s="6"/>
      <c r="AW69" s="6"/>
      <c r="AX69" s="6"/>
      <c r="AY69" s="6"/>
      <c r="AZ69" s="6"/>
      <c r="BA69" s="6"/>
      <c r="BB69" s="6"/>
      <c r="BC69" s="6"/>
      <c r="BD69" s="6"/>
      <c r="BE69" s="6"/>
      <c r="BF69" s="7"/>
      <c r="BH69" s="327" t="s">
        <v>611</v>
      </c>
      <c r="BI69" s="12" t="str">
        <f>IF(BI68="","",IF(Temp3&gt;=30,11,IF(BI71=15,14,IF(BI68&gt;=2,BI68-1,1))))</f>
        <v/>
      </c>
      <c r="BJ69" s="335"/>
      <c r="BK69" s="12"/>
      <c r="BL69" s="335"/>
      <c r="BM69" s="581" t="s">
        <v>607</v>
      </c>
      <c r="BN69" s="581"/>
      <c r="BO69" s="335"/>
      <c r="BP69" s="336" t="s">
        <v>497</v>
      </c>
      <c r="BQ69" s="335"/>
      <c r="BR69" s="307" t="s">
        <v>58</v>
      </c>
      <c r="BS69" s="222"/>
      <c r="BT69" s="12"/>
      <c r="BU69" s="327" t="s">
        <v>611</v>
      </c>
      <c r="BV69" s="12" t="str">
        <f>IF(BV68="","",IF(Temp3&gt;=30,11,IF(BV71=15,14,IF(BV68&gt;=2,BV68-1,1))))</f>
        <v/>
      </c>
      <c r="BW69" s="335"/>
      <c r="BX69" s="12"/>
      <c r="BY69" s="335"/>
      <c r="BZ69" s="581" t="s">
        <v>607</v>
      </c>
      <c r="CA69" s="581"/>
      <c r="CB69" s="335"/>
      <c r="CC69" s="336" t="s">
        <v>497</v>
      </c>
      <c r="CD69" s="335"/>
      <c r="CE69" s="307" t="s">
        <v>58</v>
      </c>
      <c r="CF69" s="222"/>
      <c r="CG69" s="234"/>
      <c r="CH69" s="235"/>
      <c r="CI69" s="12"/>
      <c r="CJ69" s="12"/>
      <c r="CK69" s="12"/>
      <c r="CL69" s="243" t="e">
        <f>CONCATENATE(VLOOKUP(CI63,ChloramineTableV,2,FALSE)," C")</f>
        <v>#N/A</v>
      </c>
      <c r="CM69" s="244" t="str">
        <f>IF(OR(F8="",CI61=""),"",HLOOKUP(CI61,ChloramineTableV,CI63+2,FALSE))</f>
        <v/>
      </c>
      <c r="CN69" s="244" t="str">
        <f>IF(OR(F8="",CI60=""),"",HLOOKUP(CI60,ChloramineTableV,CI63+2,FALSE))</f>
        <v/>
      </c>
      <c r="CO69" s="81"/>
      <c r="CP69" s="220" t="str">
        <f>IF(OR(CN69="",CM69=""),"",CN69-((CN69-CM69)*CJ60))</f>
        <v/>
      </c>
      <c r="CQ69" s="12"/>
      <c r="CR69" s="181"/>
      <c r="CS69" s="222"/>
      <c r="CU69" s="407"/>
      <c r="CV69" s="12"/>
      <c r="CW69" s="12"/>
      <c r="CX69" s="81"/>
      <c r="CY69" s="81"/>
      <c r="CZ69" s="81"/>
      <c r="DA69" s="6"/>
      <c r="DB69" s="6"/>
      <c r="DC69" s="6"/>
      <c r="DD69" s="6"/>
      <c r="DE69" s="6"/>
      <c r="DF69" s="6"/>
      <c r="DG69" s="6"/>
      <c r="DH69" s="6"/>
      <c r="DI69" s="6"/>
      <c r="DJ69" s="6"/>
      <c r="DK69" s="6"/>
      <c r="DL69" s="28"/>
      <c r="DM69" s="6"/>
      <c r="DN69" s="6"/>
      <c r="DO69" s="7"/>
    </row>
    <row r="70" spans="1:119" ht="13.5" thickBot="1" x14ac:dyDescent="0.25">
      <c r="A70" s="33" t="s">
        <v>54</v>
      </c>
      <c r="B70" s="23"/>
      <c r="C70" s="23"/>
      <c r="D70" s="59" t="str">
        <f>IF(OR(B56="",B58="",B60="",B58=8),"",CONCATENATE(B60,"-",B58,"-",B56))</f>
        <v/>
      </c>
      <c r="E70" s="120" t="str">
        <f>IF(D70="","",IF(B57=0,0,CONCATENATE(B60,"-",B58,"-",B57)))</f>
        <v/>
      </c>
      <c r="F70" s="74" t="str">
        <f>IF(D70="","",HLOOKUP(D70,CTtable,19,FALSE))</f>
        <v/>
      </c>
      <c r="G70" s="6"/>
      <c r="H70" s="6"/>
      <c r="I70" s="6"/>
      <c r="J70" s="6"/>
      <c r="K70" s="6"/>
      <c r="L70" s="6"/>
      <c r="M70" s="6"/>
      <c r="N70" s="6"/>
      <c r="O70" s="6"/>
      <c r="P70" s="6"/>
      <c r="Q70" s="6"/>
      <c r="R70" s="6"/>
      <c r="S70" s="6"/>
      <c r="T70" s="6"/>
      <c r="U70" s="7"/>
      <c r="V70" s="28"/>
      <c r="W70" s="58">
        <v>2.8</v>
      </c>
      <c r="X70" s="75" t="str">
        <f>IF(E67="","",HLOOKUP(E67,CTtable,14,FALSE))</f>
        <v/>
      </c>
      <c r="Y70" s="22" t="str">
        <f>IF(D67="","",HLOOKUP(D67,CTtable,14,FALSE))</f>
        <v/>
      </c>
      <c r="Z70" s="75" t="str">
        <f>IF(E68="","",HLOOKUP(E68,CTtable,14,FALSE))</f>
        <v/>
      </c>
      <c r="AA70" s="73" t="str">
        <f>IF(D68="","",HLOOKUP(D68,CTtable,14,FALSE))</f>
        <v/>
      </c>
      <c r="AB70" s="75" t="str">
        <f>IF(E69="","",HLOOKUP(E69,CTtable,14,FALSE))</f>
        <v/>
      </c>
      <c r="AC70" s="22" t="str">
        <f>IF(D69="","",HLOOKUP(D69,CTtable,14,FALSE))</f>
        <v/>
      </c>
      <c r="AD70" s="75" t="str">
        <f>IF(E70="","",HLOOKUP(E70,CTtable,14,FALSE))</f>
        <v/>
      </c>
      <c r="AE70" s="73" t="str">
        <f>IF($D$70="","",HLOOKUP($D$70,CTtable,14,FALSE))</f>
        <v/>
      </c>
      <c r="AF70" s="6"/>
      <c r="AG70" s="78" t="str">
        <f t="shared" si="23"/>
        <v/>
      </c>
      <c r="AH70" s="79" t="str">
        <f t="shared" si="24"/>
        <v/>
      </c>
      <c r="AI70" s="78" t="str">
        <f t="shared" si="25"/>
        <v/>
      </c>
      <c r="AJ70" s="79" t="str">
        <f t="shared" si="26"/>
        <v/>
      </c>
      <c r="AK70" s="22"/>
      <c r="AL70" s="100" t="str">
        <f t="shared" si="27"/>
        <v/>
      </c>
      <c r="AM70" s="108" t="str">
        <f t="shared" si="28"/>
        <v/>
      </c>
      <c r="AN70" s="95" t="str">
        <f t="shared" si="29"/>
        <v/>
      </c>
      <c r="AO70" s="7"/>
      <c r="AQ70" s="28"/>
      <c r="AR70" s="6"/>
      <c r="AS70" s="6"/>
      <c r="AT70" s="6"/>
      <c r="AU70" s="6"/>
      <c r="AV70" s="6"/>
      <c r="AW70" s="6"/>
      <c r="AX70" s="6"/>
      <c r="AY70" s="6"/>
      <c r="AZ70" s="6"/>
      <c r="BA70" s="6"/>
      <c r="BB70" s="6"/>
      <c r="BC70" s="6"/>
      <c r="BD70" s="6"/>
      <c r="BE70" s="6"/>
      <c r="BF70" s="7"/>
      <c r="BH70" s="327" t="s">
        <v>614</v>
      </c>
      <c r="BI70" s="335" t="str">
        <f>IF((G8=""),"",IF((G8&lt;=0),"",IF((G8&lt;=0.5),1,IF((G8&lt;=1),2,IF((G8&lt;=2),3,IF((G8&lt;=3),4,IF((G8&lt;=5),5,IF((G8&lt;=7),6,""))))))))</f>
        <v/>
      </c>
      <c r="BJ70" s="351" t="str">
        <f>IF(BI70=1,0,IF(BI70=2,((1-G8)/0.5),IF(BI70=3,((2-G8)/1),IF(BI70=4,((3-G8)/1),IF(BI70=5,((5-G8)/2),IF(BI70=6,((7-G8)/2),""))))))</f>
        <v/>
      </c>
      <c r="BK70" s="81"/>
      <c r="BL70" s="335"/>
      <c r="BM70" s="334" t="e">
        <f>HLOOKUP(BI67,ClOcTable,2,FALSE)</f>
        <v>#N/A</v>
      </c>
      <c r="BN70" s="334" t="e">
        <f>HLOOKUP(BI66,ClOcTable,2,FALSE)</f>
        <v>#N/A</v>
      </c>
      <c r="BO70" s="335"/>
      <c r="BP70" s="337" t="str">
        <f>CONCATENATE(logCryptoR,"-log")</f>
        <v>-log</v>
      </c>
      <c r="BQ70" s="335"/>
      <c r="BR70" s="24" t="str">
        <f>CONCATENATE('CT Worksheet'!C21,'CT Worksheet'!D21)</f>
        <v/>
      </c>
      <c r="BS70" s="236"/>
      <c r="BT70" s="12"/>
      <c r="BU70" s="327" t="s">
        <v>614</v>
      </c>
      <c r="BV70" s="335" t="str">
        <f>IF((G8=""),"",IF((G8&lt;=0),"",IF((G8&lt;=0.5),1,IF((G8&lt;=1),2,IF((G8&lt;=2),3,IF((G8&lt;=3),4,IF((G8&lt;=5),5,IF((G8&lt;=7),6,""))))))))</f>
        <v/>
      </c>
      <c r="BW70" s="351" t="str">
        <f>IF(BI70=1,0,IF(BI70=2,((1-G8)/0.5),IF(BI70=3,((2-G8)/1),IF(BI70=4,((3-G8)/1),IF(BI70=5,((5-G8)/2),IF(BI70=6,((7-G8)/2),""))))))</f>
        <v/>
      </c>
      <c r="BX70" s="81"/>
      <c r="BY70" s="335"/>
      <c r="BZ70" s="334" t="e">
        <f>HLOOKUP(BV67,O3cTable,2,FALSE)</f>
        <v>#N/A</v>
      </c>
      <c r="CA70" s="334" t="e">
        <f>HLOOKUP(BV66,O3cTable,2,FALSE)</f>
        <v>#N/A</v>
      </c>
      <c r="CB70" s="335"/>
      <c r="CC70" s="337" t="str">
        <f>CONCATENATE(logCryptoR,"-log")</f>
        <v>-log</v>
      </c>
      <c r="CD70" s="335"/>
      <c r="CE70" s="378" t="str">
        <f>CONCATENATE('CT Worksheet'!C21,'CT Worksheet'!D21)</f>
        <v/>
      </c>
      <c r="CF70" s="236"/>
      <c r="CG70" s="234"/>
      <c r="CH70" s="235"/>
      <c r="CI70" s="12"/>
      <c r="CJ70" s="81"/>
      <c r="CK70" s="81"/>
      <c r="CL70" s="12"/>
      <c r="CM70" s="12"/>
      <c r="CN70" s="12"/>
      <c r="CO70" s="12"/>
      <c r="CP70" s="12"/>
      <c r="CQ70" s="12"/>
      <c r="CR70" s="12"/>
      <c r="CS70" s="236"/>
      <c r="CU70" s="235"/>
      <c r="CV70" s="12"/>
      <c r="CW70" s="12"/>
      <c r="CX70" s="81"/>
      <c r="CY70" s="81"/>
      <c r="CZ70" s="81"/>
      <c r="DA70" s="6"/>
      <c r="DB70" s="6"/>
      <c r="DC70" s="6"/>
      <c r="DD70" s="6"/>
      <c r="DE70" s="6"/>
      <c r="DF70" s="6"/>
      <c r="DG70" s="6"/>
      <c r="DH70" s="6"/>
      <c r="DI70" s="6"/>
      <c r="DJ70" s="6"/>
      <c r="DK70" s="6"/>
      <c r="DL70" s="28"/>
      <c r="DM70" s="6"/>
      <c r="DN70" s="6"/>
      <c r="DO70" s="7"/>
    </row>
    <row r="71" spans="1:119" ht="13.5" thickBot="1" x14ac:dyDescent="0.25">
      <c r="A71" s="28"/>
      <c r="B71" s="6"/>
      <c r="C71" s="6"/>
      <c r="D71" s="6"/>
      <c r="E71" s="6"/>
      <c r="F71" s="22"/>
      <c r="G71" s="6"/>
      <c r="H71" s="6"/>
      <c r="I71" s="6"/>
      <c r="J71" s="6"/>
      <c r="K71" s="6"/>
      <c r="L71" s="6"/>
      <c r="M71" s="6"/>
      <c r="N71" s="6"/>
      <c r="O71" s="6"/>
      <c r="P71" s="6"/>
      <c r="Q71" s="6"/>
      <c r="R71" s="6"/>
      <c r="S71" s="6"/>
      <c r="T71" s="6"/>
      <c r="U71" s="7"/>
      <c r="V71" s="28"/>
      <c r="W71" s="58">
        <v>3</v>
      </c>
      <c r="X71" s="67" t="str">
        <f>IF(E67="","",HLOOKUP(E67,CTtable,15,FALSE))</f>
        <v/>
      </c>
      <c r="Y71" s="59" t="str">
        <f>IF(D67="","",HLOOKUP(D67,CTtable,15,FALSE))</f>
        <v/>
      </c>
      <c r="Z71" s="67" t="str">
        <f>IF(E68="","",HLOOKUP(E68,CTtable,15,FALSE))</f>
        <v/>
      </c>
      <c r="AA71" s="74" t="str">
        <f>IF(D68="","",HLOOKUP(D68,CTtable,15,FALSE))</f>
        <v/>
      </c>
      <c r="AB71" s="67" t="str">
        <f>IF(E69="","",HLOOKUP(E69,CTtable,15,FALSE))</f>
        <v/>
      </c>
      <c r="AC71" s="59" t="str">
        <f>IF(D69="","",HLOOKUP(D69,CTtable,15,FALSE))</f>
        <v/>
      </c>
      <c r="AD71" s="67" t="str">
        <f>IF(E70="","",HLOOKUP(E70,CTtable,15,FALSE))</f>
        <v/>
      </c>
      <c r="AE71" s="74" t="str">
        <f>IF($D$70="","",HLOOKUP($D$70,CTtable,15,FALSE))</f>
        <v/>
      </c>
      <c r="AF71" s="6"/>
      <c r="AG71" s="69" t="str">
        <f t="shared" si="23"/>
        <v/>
      </c>
      <c r="AH71" s="80" t="str">
        <f t="shared" si="24"/>
        <v/>
      </c>
      <c r="AI71" s="69" t="str">
        <f t="shared" si="25"/>
        <v/>
      </c>
      <c r="AJ71" s="80" t="str">
        <f t="shared" si="26"/>
        <v/>
      </c>
      <c r="AK71" s="22"/>
      <c r="AL71" s="102" t="str">
        <f t="shared" si="27"/>
        <v/>
      </c>
      <c r="AM71" s="93" t="str">
        <f t="shared" si="28"/>
        <v/>
      </c>
      <c r="AN71" s="96" t="str">
        <f t="shared" si="29"/>
        <v/>
      </c>
      <c r="AO71" s="7"/>
      <c r="AQ71" s="28"/>
      <c r="AR71" s="6"/>
      <c r="AS71" s="6"/>
      <c r="AT71" s="6"/>
      <c r="AU71" s="6"/>
      <c r="AV71" s="6"/>
      <c r="AW71" s="6"/>
      <c r="AX71" s="6"/>
      <c r="AY71" s="6"/>
      <c r="AZ71" s="6"/>
      <c r="BA71" s="6"/>
      <c r="BB71" s="6"/>
      <c r="BC71" s="6"/>
      <c r="BD71" s="6"/>
      <c r="BE71" s="6"/>
      <c r="BF71" s="7"/>
      <c r="BH71" s="327" t="s">
        <v>615</v>
      </c>
      <c r="BI71" s="335" t="str">
        <f>IF(OR(BI70&lt;&gt;"",G8=""),"",IF((G8&lt;=10),7,IF((G8&lt;=15),8,IF((G8&lt;=20),9,IF((G8&lt;=25),10,11)))))</f>
        <v/>
      </c>
      <c r="BJ71" s="351" t="str">
        <f>IF(BI69=11,0,IF(BI71=7,((10-G8)/3),IF(BI71=8,((15-G8)/5),IF(BI71=9,((20-G8)/5),IF(BI71=10,((25-G8)/5),IF(BI71=11,((30-G8)/5),IF(BI71=12,0,"")))))))</f>
        <v/>
      </c>
      <c r="BK71" s="81"/>
      <c r="BL71" s="338" t="e">
        <f>CONCATENATE(VLOOKUP(BI69,ClOcTable,2,FALSE)," C")</f>
        <v>#N/A</v>
      </c>
      <c r="BM71" s="303" t="str">
        <f>IF(OR((F8=""),(BI67="")),"",HLOOKUP(BI67,ClOcTable,(BI69+2),FALSE))</f>
        <v/>
      </c>
      <c r="BN71" s="303" t="str">
        <f>IF(OR((F8=""),(BI66="")),"",HLOOKUP(BI66,ClOcTable,(BI69+2),FALSE))</f>
        <v/>
      </c>
      <c r="BO71" s="320"/>
      <c r="BP71" s="339" t="str">
        <f>IF(OR((BN71=""),(BM71="")),"",(BN71-((BN71-BM71)*BJ66)))</f>
        <v/>
      </c>
      <c r="BQ71" s="315"/>
      <c r="BR71" s="380" t="str">
        <f>IF(OR((BP71=""),(BP72="")),"",(BP72-((BP72-BP71)*BJ68)))</f>
        <v/>
      </c>
      <c r="BS71" s="236"/>
      <c r="BT71" s="12"/>
      <c r="BU71" s="327" t="s">
        <v>615</v>
      </c>
      <c r="BV71" s="335" t="str">
        <f>IF(OR(BI70&lt;&gt;"",G8=""),"",IF((G8&lt;=10),7,IF((G8&lt;=15),8,IF((G8&lt;=20),9,IF((G8&lt;=25),10,11)))))</f>
        <v/>
      </c>
      <c r="BW71" s="351" t="str">
        <f>IF(BV69=11,0,IF(BI71=7,((10-G8)/3),IF(BI71=8,((15-G8)/5),IF(BI71=9,((20-G8)/5),IF(BI71=10,((25-G8)/5),IF(BI71=11,((30-G8)/5),IF(BI71=12,0,"")))))))</f>
        <v/>
      </c>
      <c r="BX71" s="81"/>
      <c r="BY71" s="338" t="e">
        <f>CONCATENATE(VLOOKUP(BV69,O3cTable,2,FALSE)," C")</f>
        <v>#N/A</v>
      </c>
      <c r="BZ71" s="303" t="str">
        <f>IF(OR((F8=""),(BV67="")),"",HLOOKUP(BV67,O3cTable,(BV69+2),FALSE))</f>
        <v/>
      </c>
      <c r="CA71" s="303" t="str">
        <f>IF(OR((F8=""),(BV66="")),"",HLOOKUP(BV66,O3cTable,(BV69+2),FALSE))</f>
        <v/>
      </c>
      <c r="CB71" s="320"/>
      <c r="CC71" s="339" t="str">
        <f>IF(OR((CA71=""),(BZ71="")),"",(CA71-((CA71-BZ71)*BW66)))</f>
        <v/>
      </c>
      <c r="CD71" s="315"/>
      <c r="CE71" s="380" t="str">
        <f>IF(OR((CC71=""),(CC72="")),"",(CC72-((CC72-CC71)*BW68)))</f>
        <v/>
      </c>
      <c r="CF71" s="236"/>
      <c r="CG71" s="234"/>
      <c r="CH71" s="235"/>
      <c r="CI71" s="12"/>
      <c r="CJ71" s="81"/>
      <c r="CK71" s="81"/>
      <c r="CL71" s="12"/>
      <c r="CM71" s="12"/>
      <c r="CN71" s="12"/>
      <c r="CO71" s="12"/>
      <c r="CP71" s="12"/>
      <c r="CQ71" s="12"/>
      <c r="CR71" s="12"/>
      <c r="CS71" s="236"/>
      <c r="CU71" s="28"/>
      <c r="CV71" s="6"/>
      <c r="CW71" s="6"/>
      <c r="CX71" s="6"/>
      <c r="CY71" s="12"/>
      <c r="CZ71" s="81"/>
      <c r="DA71" s="6"/>
      <c r="DB71" s="6"/>
      <c r="DC71" s="6"/>
      <c r="DD71" s="6"/>
      <c r="DE71" s="6"/>
      <c r="DF71" s="6"/>
      <c r="DG71" s="6"/>
      <c r="DH71" s="6"/>
      <c r="DI71" s="6"/>
      <c r="DJ71" s="6"/>
      <c r="DK71" s="6"/>
      <c r="DL71" s="28"/>
      <c r="DM71" s="6"/>
      <c r="DN71" s="6"/>
      <c r="DO71" s="7"/>
    </row>
    <row r="72" spans="1:119" ht="13.5" thickBot="1" x14ac:dyDescent="0.25">
      <c r="A72" s="29"/>
      <c r="B72" s="9"/>
      <c r="C72" s="9"/>
      <c r="D72" s="9"/>
      <c r="E72" s="9"/>
      <c r="F72" s="9"/>
      <c r="G72" s="9"/>
      <c r="H72" s="9"/>
      <c r="I72" s="9"/>
      <c r="J72" s="9"/>
      <c r="K72" s="9"/>
      <c r="L72" s="9"/>
      <c r="M72" s="9"/>
      <c r="N72" s="9"/>
      <c r="O72" s="9"/>
      <c r="P72" s="9"/>
      <c r="Q72" s="9"/>
      <c r="R72" s="9"/>
      <c r="S72" s="9"/>
      <c r="T72" s="9"/>
      <c r="U72" s="10"/>
      <c r="V72" s="29"/>
      <c r="W72" s="9"/>
      <c r="X72" s="589" t="e">
        <f>J61</f>
        <v>#N/A</v>
      </c>
      <c r="Y72" s="589"/>
      <c r="Z72" s="590" t="e">
        <f>L61</f>
        <v>#N/A</v>
      </c>
      <c r="AA72" s="591"/>
      <c r="AB72" s="590" t="e">
        <f>J66</f>
        <v>#N/A</v>
      </c>
      <c r="AC72" s="591"/>
      <c r="AD72" s="589" t="e">
        <f>L66</f>
        <v>#N/A</v>
      </c>
      <c r="AE72" s="589"/>
      <c r="AF72" s="9"/>
      <c r="AG72" s="589" t="e">
        <f>O61</f>
        <v>#N/A</v>
      </c>
      <c r="AH72" s="589"/>
      <c r="AI72" s="617" t="e">
        <f>O66</f>
        <v>#N/A</v>
      </c>
      <c r="AJ72" s="589"/>
      <c r="AK72" s="159"/>
      <c r="AL72" s="602" t="str">
        <f>CONCATENATE("pH ",'CT Worksheet'!C23,", ",'CT Worksheet'!C21,'CT Worksheet'!D21)</f>
        <v xml:space="preserve">pH , </v>
      </c>
      <c r="AM72" s="602"/>
      <c r="AN72" s="602"/>
      <c r="AO72" s="10"/>
      <c r="AQ72" s="29"/>
      <c r="AR72" s="9"/>
      <c r="AS72" s="9"/>
      <c r="AT72" s="9"/>
      <c r="AU72" s="9"/>
      <c r="AV72" s="9"/>
      <c r="AW72" s="9"/>
      <c r="AX72" s="9"/>
      <c r="AY72" s="9"/>
      <c r="AZ72" s="9"/>
      <c r="BA72" s="9"/>
      <c r="BB72" s="9"/>
      <c r="BC72" s="9"/>
      <c r="BD72" s="9"/>
      <c r="BE72" s="9"/>
      <c r="BF72" s="10"/>
      <c r="BH72" s="248"/>
      <c r="BI72" s="161"/>
      <c r="BJ72" s="161"/>
      <c r="BK72" s="161"/>
      <c r="BL72" s="341" t="e">
        <f>CONCATENATE(VLOOKUP(BI68,ClOcTable,2,FALSE)," C")</f>
        <v>#N/A</v>
      </c>
      <c r="BM72" s="303" t="str">
        <f>IF(OR((F8=""),(BI67="")),"",HLOOKUP(BI67,ClOcTable,(BI68+2),FALSE))</f>
        <v/>
      </c>
      <c r="BN72" s="303" t="str">
        <f>IF(OR((F8=""),(BI66="")),"",HLOOKUP(BI66,ClOcTable,(BI68+2),FALSE))</f>
        <v/>
      </c>
      <c r="BO72" s="326"/>
      <c r="BP72" s="342" t="str">
        <f>IF(OR((BN72=""),(BM72="")),"",(BN72-((BN72-BM72)*BJ66)))</f>
        <v/>
      </c>
      <c r="BQ72" s="325"/>
      <c r="BR72" s="379"/>
      <c r="BS72" s="249"/>
      <c r="BT72" s="12"/>
      <c r="BU72" s="248"/>
      <c r="BV72" s="161"/>
      <c r="BW72" s="161"/>
      <c r="BX72" s="161"/>
      <c r="BY72" s="341" t="e">
        <f>CONCATENATE(VLOOKUP(BV68,O3cTable,2,FALSE)," C")</f>
        <v>#N/A</v>
      </c>
      <c r="BZ72" s="303" t="str">
        <f>IF(OR((F8=""),(BV67="")),"",HLOOKUP(BV67,O3cTable,(BV68+2),FALSE))</f>
        <v/>
      </c>
      <c r="CA72" s="303" t="str">
        <f>IF(OR((F8=""),(BV66="")),"",HLOOKUP(BV66,O3cTable,(BV68+2),FALSE))</f>
        <v/>
      </c>
      <c r="CB72" s="326"/>
      <c r="CC72" s="342" t="str">
        <f>IF(OR((CA72=""),(BZ72="")),"",(CA72-((CA72-BZ72)*BW66)))</f>
        <v/>
      </c>
      <c r="CD72" s="325"/>
      <c r="CE72" s="379"/>
      <c r="CF72" s="249"/>
      <c r="CG72" s="234"/>
      <c r="CH72" s="248"/>
      <c r="CI72" s="161"/>
      <c r="CJ72" s="161"/>
      <c r="CK72" s="161"/>
      <c r="CL72" s="161"/>
      <c r="CM72" s="161"/>
      <c r="CN72" s="161"/>
      <c r="CO72" s="161"/>
      <c r="CP72" s="161"/>
      <c r="CQ72" s="161"/>
      <c r="CR72" s="161"/>
      <c r="CS72" s="249"/>
      <c r="CU72" s="29"/>
      <c r="CV72" s="9"/>
      <c r="CW72" s="9"/>
      <c r="CX72" s="9"/>
      <c r="CY72" s="9"/>
      <c r="CZ72" s="9"/>
      <c r="DA72" s="9"/>
      <c r="DB72" s="9"/>
      <c r="DC72" s="9"/>
      <c r="DD72" s="9"/>
      <c r="DE72" s="9"/>
      <c r="DF72" s="9"/>
      <c r="DG72" s="9"/>
      <c r="DH72" s="9"/>
      <c r="DI72" s="9"/>
      <c r="DJ72" s="9"/>
      <c r="DK72" s="9"/>
      <c r="DL72" s="29"/>
      <c r="DM72" s="9"/>
      <c r="DN72" s="9"/>
      <c r="DO72" s="10"/>
    </row>
    <row r="73" spans="1:119" x14ac:dyDescent="0.2">
      <c r="A73" s="27"/>
      <c r="B73" s="4"/>
      <c r="C73" s="4" t="s">
        <v>50</v>
      </c>
      <c r="D73" s="4"/>
      <c r="E73" s="4"/>
      <c r="F73" s="158" t="s">
        <v>107</v>
      </c>
      <c r="G73" s="4" t="s">
        <v>485</v>
      </c>
      <c r="H73" s="4"/>
      <c r="I73" s="4"/>
      <c r="J73" s="571" t="s">
        <v>107</v>
      </c>
      <c r="K73" s="571"/>
      <c r="L73" s="571" t="s">
        <v>49</v>
      </c>
      <c r="M73" s="571"/>
      <c r="N73" s="4"/>
      <c r="O73" s="571" t="s">
        <v>56</v>
      </c>
      <c r="P73" s="571"/>
      <c r="Q73" s="158" t="s">
        <v>57</v>
      </c>
      <c r="R73" s="4"/>
      <c r="S73" s="4" t="s">
        <v>58</v>
      </c>
      <c r="T73" s="4" t="s">
        <v>59</v>
      </c>
      <c r="U73" s="5"/>
      <c r="V73" s="27"/>
      <c r="W73" s="4"/>
      <c r="X73" s="585" t="s">
        <v>457</v>
      </c>
      <c r="Y73" s="585"/>
      <c r="Z73" s="585"/>
      <c r="AA73" s="585"/>
      <c r="AB73" s="585"/>
      <c r="AC73" s="585"/>
      <c r="AD73" s="585"/>
      <c r="AE73" s="585"/>
      <c r="AF73" s="4"/>
      <c r="AG73" s="571" t="str">
        <f>O73</f>
        <v>Interpolate pH</v>
      </c>
      <c r="AH73" s="571"/>
      <c r="AI73" s="571"/>
      <c r="AJ73" s="571"/>
      <c r="AK73" s="4"/>
      <c r="AL73" s="571" t="s">
        <v>151</v>
      </c>
      <c r="AM73" s="571"/>
      <c r="AN73" s="4" t="s">
        <v>152</v>
      </c>
      <c r="AO73" s="5"/>
      <c r="AQ73" s="27"/>
      <c r="AR73" s="4"/>
      <c r="AS73" s="4"/>
      <c r="AT73" s="4"/>
      <c r="AU73" s="4"/>
      <c r="AV73" s="4"/>
      <c r="AW73" s="4"/>
      <c r="AX73" s="4"/>
      <c r="AY73" s="4"/>
      <c r="AZ73" s="4"/>
      <c r="BA73" s="4"/>
      <c r="BB73" s="4"/>
      <c r="BC73" s="4"/>
      <c r="BD73" s="4"/>
      <c r="BE73" s="4"/>
      <c r="BF73" s="5"/>
      <c r="BH73" s="232"/>
      <c r="BI73" s="160"/>
      <c r="BJ73" s="160"/>
      <c r="BK73" s="160"/>
      <c r="BL73" s="160"/>
      <c r="BM73" s="160"/>
      <c r="BN73" s="160"/>
      <c r="BO73" s="160"/>
      <c r="BP73" s="160"/>
      <c r="BQ73" s="160"/>
      <c r="BR73" s="160"/>
      <c r="BS73" s="233"/>
      <c r="BT73" s="12"/>
      <c r="BU73" s="232"/>
      <c r="BV73" s="160"/>
      <c r="BW73" s="160"/>
      <c r="BX73" s="160"/>
      <c r="BY73" s="160"/>
      <c r="BZ73" s="160"/>
      <c r="CA73" s="160"/>
      <c r="CB73" s="160"/>
      <c r="CC73" s="160"/>
      <c r="CD73" s="160"/>
      <c r="CE73" s="160"/>
      <c r="CF73" s="233"/>
      <c r="CG73" s="234"/>
      <c r="CH73" s="232"/>
      <c r="CI73" s="160"/>
      <c r="CJ73" s="160"/>
      <c r="CK73" s="160"/>
      <c r="CL73" s="160"/>
      <c r="CM73" s="160"/>
      <c r="CN73" s="160"/>
      <c r="CO73" s="160"/>
      <c r="CP73" s="160"/>
      <c r="CQ73" s="160"/>
      <c r="CR73" s="160"/>
      <c r="CS73" s="233"/>
      <c r="CU73" s="27"/>
      <c r="CV73" s="4"/>
      <c r="CW73" s="4" t="s">
        <v>50</v>
      </c>
      <c r="CX73" s="4"/>
      <c r="CY73" s="4"/>
      <c r="CZ73" s="412" t="s">
        <v>107</v>
      </c>
      <c r="DA73" s="406" t="s">
        <v>652</v>
      </c>
      <c r="DB73" s="4"/>
      <c r="DC73" s="4"/>
      <c r="DD73" s="571"/>
      <c r="DE73" s="571"/>
      <c r="DF73" s="571" t="s">
        <v>56</v>
      </c>
      <c r="DG73" s="571"/>
      <c r="DH73" s="412" t="s">
        <v>634</v>
      </c>
      <c r="DI73" s="411"/>
      <c r="DJ73" s="4" t="s">
        <v>58</v>
      </c>
      <c r="DK73" s="4"/>
      <c r="DL73" s="570" t="s">
        <v>663</v>
      </c>
      <c r="DM73" s="571"/>
      <c r="DN73" s="571"/>
      <c r="DO73" s="572"/>
    </row>
    <row r="74" spans="1:119" x14ac:dyDescent="0.2">
      <c r="A74" s="28" t="s">
        <v>446</v>
      </c>
      <c r="B74" s="43" t="str">
        <f>IF(OR(logGiardiaR="",'CT Worksheet'!B27&lt;&gt;"Cl2 (free)"),"",IF(logGiardiaR&lt;=0.5,1,IF(logGiardiaR&lt;=1,2,IF(logGiardiaR&lt;=1.5,3,IF(logGiardiaR&lt;=2,4,IF(logGiardiaR&lt;=2.5,5,6))))))</f>
        <v/>
      </c>
      <c r="C74" s="44">
        <f>IF(B74=2,((1-logGiardiaR)/0.5),IF(B74=3,((1.5-logGiardiaR)/0.5),IF(B74=4,((2-logGiardiaR)/0.5),IF(B74=5,((2.5-logGiardiaR)/0.5),IF(B74=6,((3-logGiardiaR)/0.5),IF(B75=0,(0.5-logGiardiaR)/0.5,0))))))</f>
        <v>0</v>
      </c>
      <c r="D74" s="6"/>
      <c r="E74" s="6"/>
      <c r="F74" s="47" t="str">
        <f>'CT Worksheet'!B25</f>
        <v>Segment 4</v>
      </c>
      <c r="G74" s="6"/>
      <c r="H74" s="6"/>
      <c r="I74" s="6"/>
      <c r="J74" s="41" t="str">
        <f>F74</f>
        <v>Segment 4</v>
      </c>
      <c r="K74" s="41"/>
      <c r="L74" s="6"/>
      <c r="M74" s="6"/>
      <c r="N74" s="22"/>
      <c r="O74" s="6"/>
      <c r="P74" s="6"/>
      <c r="Q74" s="6"/>
      <c r="R74" s="6"/>
      <c r="S74" s="6"/>
      <c r="T74" s="6"/>
      <c r="U74" s="7"/>
      <c r="V74" s="28"/>
      <c r="W74" s="6"/>
      <c r="X74" s="587" t="str">
        <f>J76</f>
        <v xml:space="preserve">CT Table </v>
      </c>
      <c r="Y74" s="603"/>
      <c r="Z74" s="587" t="str">
        <f>L76</f>
        <v xml:space="preserve">CT Table </v>
      </c>
      <c r="AA74" s="588"/>
      <c r="AB74" s="603" t="str">
        <f>J81</f>
        <v xml:space="preserve">CT Table </v>
      </c>
      <c r="AC74" s="603"/>
      <c r="AD74" s="587" t="str">
        <f>L81</f>
        <v xml:space="preserve">CT Table </v>
      </c>
      <c r="AE74" s="588"/>
      <c r="AF74" s="6"/>
      <c r="AG74" s="22"/>
      <c r="AH74" s="22"/>
      <c r="AI74" s="22"/>
      <c r="AJ74" s="22"/>
      <c r="AK74" s="22"/>
      <c r="AL74" s="22"/>
      <c r="AM74" s="22"/>
      <c r="AN74" s="6"/>
      <c r="AO74" s="7"/>
      <c r="AQ74" s="28"/>
      <c r="AR74" s="6"/>
      <c r="AS74" s="6"/>
      <c r="AT74" s="6"/>
      <c r="AU74" s="6"/>
      <c r="AV74" s="586" t="s">
        <v>489</v>
      </c>
      <c r="AW74" s="586"/>
      <c r="AX74" s="586"/>
      <c r="AY74" s="586"/>
      <c r="AZ74" s="6"/>
      <c r="BA74" s="6"/>
      <c r="BB74" s="6"/>
      <c r="BC74" s="6"/>
      <c r="BD74" s="6"/>
      <c r="BE74" s="6"/>
      <c r="BF74" s="7"/>
      <c r="BH74" s="235"/>
      <c r="BI74" s="12"/>
      <c r="BJ74" s="12"/>
      <c r="BK74" s="12"/>
      <c r="BL74" s="12"/>
      <c r="BM74" s="622" t="s">
        <v>528</v>
      </c>
      <c r="BN74" s="622"/>
      <c r="BO74" s="622"/>
      <c r="BP74" s="622"/>
      <c r="BQ74" s="12"/>
      <c r="BR74" s="12"/>
      <c r="BS74" s="236"/>
      <c r="BT74" s="12"/>
      <c r="BU74" s="235"/>
      <c r="BV74" s="12"/>
      <c r="BW74" s="12"/>
      <c r="BX74" s="12"/>
      <c r="BY74" s="12"/>
      <c r="BZ74" s="622" t="s">
        <v>530</v>
      </c>
      <c r="CA74" s="622"/>
      <c r="CB74" s="622"/>
      <c r="CC74" s="622"/>
      <c r="CD74" s="12"/>
      <c r="CE74" s="12"/>
      <c r="CF74" s="236"/>
      <c r="CG74" s="234"/>
      <c r="CH74" s="235"/>
      <c r="CI74" s="12"/>
      <c r="CJ74" s="12"/>
      <c r="CK74" s="12"/>
      <c r="CL74" s="12"/>
      <c r="CM74" s="622" t="s">
        <v>531</v>
      </c>
      <c r="CN74" s="622"/>
      <c r="CO74" s="622"/>
      <c r="CP74" s="622"/>
      <c r="CQ74" s="12"/>
      <c r="CR74" s="12"/>
      <c r="CS74" s="236"/>
      <c r="CU74" s="28" t="s">
        <v>446</v>
      </c>
      <c r="CV74" s="43" t="str">
        <f>IF(OR(MicrocystinR="",'CT Worksheet'!$B27&lt;&gt;"Cl2 (free)"),"",IF(MicrocystinR&lt;=10,1,IF(MicrocystinR&lt;=50,2,3)))</f>
        <v/>
      </c>
      <c r="CW74" s="190">
        <f>IF(CV74=2,((50-MicrocystinR)/40),IF(CV74=3,((100-MicrocystinR)/50),IF(CV75=0,(10-MicrocystinR)/10,0)))</f>
        <v>0</v>
      </c>
      <c r="CX74" s="6"/>
      <c r="CY74" s="6"/>
      <c r="CZ74" s="211">
        <f>'CT Worksheet'!Q25</f>
        <v>0</v>
      </c>
      <c r="DA74" s="12"/>
      <c r="DB74" s="12"/>
      <c r="DC74" s="12"/>
      <c r="DD74" s="564"/>
      <c r="DE74" s="564"/>
      <c r="DF74" s="6"/>
      <c r="DG74" s="6"/>
      <c r="DH74" s="22"/>
      <c r="DI74" s="6"/>
      <c r="DL74" s="28"/>
      <c r="DM74" s="6"/>
      <c r="DN74" s="6"/>
      <c r="DO74" s="7"/>
    </row>
    <row r="75" spans="1:119" ht="13.5" thickBot="1" x14ac:dyDescent="0.25">
      <c r="A75" s="28" t="s">
        <v>447</v>
      </c>
      <c r="B75" s="12" t="str">
        <f>IF(B74="","",IF(B74&gt;=2,B74-1,IF('CT Worksheet'!S3&lt;0.5,0,1)))</f>
        <v/>
      </c>
      <c r="C75" s="6"/>
      <c r="D75" s="6"/>
      <c r="E75" s="6"/>
      <c r="F75" s="22"/>
      <c r="G75" s="6"/>
      <c r="H75" s="6"/>
      <c r="I75" s="6"/>
      <c r="J75" s="39" t="e">
        <f>VLOOKUP(B75,[0]!Categories,2,FALSE)</f>
        <v>#N/A</v>
      </c>
      <c r="K75" s="39" t="e">
        <f>VLOOKUP(B74,[0]!Categories,2,FALSE)</f>
        <v>#N/A</v>
      </c>
      <c r="L75" s="38" t="e">
        <f>J75</f>
        <v>#N/A</v>
      </c>
      <c r="M75" s="39" t="e">
        <f>K75</f>
        <v>#N/A</v>
      </c>
      <c r="N75" s="6"/>
      <c r="O75" s="39" t="e">
        <f>J75</f>
        <v>#N/A</v>
      </c>
      <c r="P75" s="39" t="e">
        <f>K75</f>
        <v>#N/A</v>
      </c>
      <c r="Q75" s="24" t="str">
        <f>CONCATENATE(logGiardiaR,"-log")</f>
        <v>-log</v>
      </c>
      <c r="R75" s="6"/>
      <c r="S75" s="26" t="str">
        <f>CONCATENATE('CT Worksheet'!C26,'CT Worksheet'!D26)</f>
        <v/>
      </c>
      <c r="T75" s="26" t="str">
        <f>CONCATENATE('CT Worksheet'!C27,'CT Worksheet'!D27)</f>
        <v>mg/l</v>
      </c>
      <c r="U75" s="7"/>
      <c r="V75" s="28"/>
      <c r="W75" s="22" t="s">
        <v>150</v>
      </c>
      <c r="X75" s="49" t="e">
        <f>J75</f>
        <v>#N/A</v>
      </c>
      <c r="Y75" s="50" t="e">
        <f>K75</f>
        <v>#N/A</v>
      </c>
      <c r="Z75" s="49" t="e">
        <f>L75</f>
        <v>#N/A</v>
      </c>
      <c r="AA75" s="51" t="e">
        <f>M75</f>
        <v>#N/A</v>
      </c>
      <c r="AB75" s="50" t="e">
        <f>J75</f>
        <v>#N/A</v>
      </c>
      <c r="AC75" s="50" t="e">
        <f>K75</f>
        <v>#N/A</v>
      </c>
      <c r="AD75" s="49" t="e">
        <f>L75</f>
        <v>#N/A</v>
      </c>
      <c r="AE75" s="51" t="e">
        <f>M75</f>
        <v>#N/A</v>
      </c>
      <c r="AF75" s="6"/>
      <c r="AG75" s="81" t="e">
        <f>X75</f>
        <v>#N/A</v>
      </c>
      <c r="AH75" s="22" t="e">
        <f>Y75</f>
        <v>#N/A</v>
      </c>
      <c r="AI75" s="22" t="e">
        <f>AB75</f>
        <v>#N/A</v>
      </c>
      <c r="AJ75" s="22" t="e">
        <f>AE75</f>
        <v>#N/A</v>
      </c>
      <c r="AK75" s="22"/>
      <c r="AL75" s="22" t="e">
        <f>AG75</f>
        <v>#N/A</v>
      </c>
      <c r="AM75" s="22" t="e">
        <f>AH75</f>
        <v>#N/A</v>
      </c>
      <c r="AN75" s="26" t="str">
        <f>Q75</f>
        <v>-log</v>
      </c>
      <c r="AO75" s="7"/>
      <c r="AQ75" s="28"/>
      <c r="AR75" s="6"/>
      <c r="AS75" s="6" t="s">
        <v>50</v>
      </c>
      <c r="AT75" s="6"/>
      <c r="AU75" s="6"/>
      <c r="AV75" s="569" t="str">
        <f>F74</f>
        <v>Segment 4</v>
      </c>
      <c r="AW75" s="569"/>
      <c r="AX75" s="569"/>
      <c r="AY75" s="569"/>
      <c r="AZ75" s="6"/>
      <c r="BA75" s="586" t="s">
        <v>56</v>
      </c>
      <c r="BB75" s="586"/>
      <c r="BC75" s="22" t="s">
        <v>57</v>
      </c>
      <c r="BD75" s="6"/>
      <c r="BE75" s="22" t="s">
        <v>58</v>
      </c>
      <c r="BF75" s="7"/>
      <c r="BH75" s="235"/>
      <c r="BI75" s="12"/>
      <c r="BJ75" s="12" t="s">
        <v>50</v>
      </c>
      <c r="BK75" s="12"/>
      <c r="BL75" s="12"/>
      <c r="BM75" s="564" t="str">
        <f>F74</f>
        <v>Segment 4</v>
      </c>
      <c r="BN75" s="564"/>
      <c r="BO75" s="564"/>
      <c r="BP75" s="564"/>
      <c r="BQ75" s="12"/>
      <c r="BR75" s="12"/>
      <c r="BS75" s="236"/>
      <c r="BT75" s="81"/>
      <c r="BU75" s="235"/>
      <c r="BV75" s="12"/>
      <c r="BW75" s="12" t="s">
        <v>50</v>
      </c>
      <c r="BX75" s="12"/>
      <c r="BY75" s="12"/>
      <c r="BZ75" s="564" t="str">
        <f>F74</f>
        <v>Segment 4</v>
      </c>
      <c r="CA75" s="564"/>
      <c r="CB75" s="564"/>
      <c r="CC75" s="564"/>
      <c r="CD75" s="12"/>
      <c r="CE75" s="12"/>
      <c r="CF75" s="236"/>
      <c r="CG75" s="234"/>
      <c r="CH75" s="235"/>
      <c r="CI75" s="12"/>
      <c r="CJ75" s="12" t="s">
        <v>50</v>
      </c>
      <c r="CK75" s="12"/>
      <c r="CL75" s="12"/>
      <c r="CM75" s="564" t="str">
        <f>F74</f>
        <v>Segment 4</v>
      </c>
      <c r="CN75" s="564"/>
      <c r="CO75" s="564"/>
      <c r="CP75" s="564"/>
      <c r="CQ75" s="12"/>
      <c r="CR75" s="12"/>
      <c r="CS75" s="236"/>
      <c r="CU75" s="28" t="s">
        <v>447</v>
      </c>
      <c r="CV75" s="12" t="str">
        <f>IF(CV74="","",IF(MicrocystinR&lt;10,0,IF(CV74&gt;2,CV74-1,1)))</f>
        <v/>
      </c>
      <c r="CW75" s="12"/>
      <c r="CX75" s="6"/>
      <c r="CY75" s="6"/>
      <c r="CZ75" s="22"/>
      <c r="DA75" s="6"/>
      <c r="DB75" s="12"/>
      <c r="DC75" s="12"/>
      <c r="DD75" s="143"/>
      <c r="DE75" s="143"/>
      <c r="DF75" s="143"/>
      <c r="DG75" s="143"/>
      <c r="DH75" s="12"/>
      <c r="DI75" s="143"/>
      <c r="DJ75" s="143"/>
      <c r="DK75" s="211"/>
      <c r="DL75" s="235"/>
      <c r="DM75" s="211"/>
      <c r="DN75" s="409"/>
      <c r="DO75" s="7"/>
    </row>
    <row r="76" spans="1:119" ht="13.5" thickBot="1" x14ac:dyDescent="0.25">
      <c r="A76" s="28" t="s">
        <v>89</v>
      </c>
      <c r="B76" s="6" t="str">
        <f>IF(pH_4="","",IF(pH_4&lt;=6,1,IF(pH_4&lt;=6.5,2,IF(pH_4&lt;=7,3,IF(pH_4&lt;=7.5,4,IF(pH_4&lt;=8,5,IF(pH_4&lt;=8.5,6,IF(pH_4&lt;=9,7,8))))))))</f>
        <v/>
      </c>
      <c r="C76" s="44">
        <f>IF(B76=2,((6.5-pH_4)/0.5),IF(B76=3,((7-pH_4)/0.5),IF(B76=4,((7.5-pH_4)/0.5),IF(B76=5,((8-pH_4)/0.5),IF(B76=6,((8.5-pH_4)/0.5),IF(B76=7,((9-pH_4)/0.5),0))))))</f>
        <v>0</v>
      </c>
      <c r="D76" s="6"/>
      <c r="E76" s="6"/>
      <c r="F76" s="22"/>
      <c r="G76" s="6"/>
      <c r="H76" s="6"/>
      <c r="I76" s="6"/>
      <c r="J76" s="608" t="str">
        <f>CONCATENATE("CT Table ",F85)</f>
        <v xml:space="preserve">CT Table </v>
      </c>
      <c r="K76" s="609"/>
      <c r="L76" s="614" t="str">
        <f>CONCATENATE("CT Table ",F86)</f>
        <v xml:space="preserve">CT Table </v>
      </c>
      <c r="M76" s="615"/>
      <c r="N76" s="6"/>
      <c r="O76" s="6"/>
      <c r="P76" s="6"/>
      <c r="Q76" s="6"/>
      <c r="R76" s="6"/>
      <c r="S76" s="6"/>
      <c r="T76" s="6"/>
      <c r="U76" s="7"/>
      <c r="V76" s="28"/>
      <c r="W76" s="57">
        <v>0.4</v>
      </c>
      <c r="X76" s="75" t="str">
        <f>IF(E85="","",HLOOKUP(E85,CTtable,2,FALSE))</f>
        <v/>
      </c>
      <c r="Y76" s="22" t="str">
        <f>IF(D85="","",HLOOKUP(D85,CTtable,2,FALSE))</f>
        <v/>
      </c>
      <c r="Z76" s="75" t="str">
        <f>IF(E86="","",HLOOKUP(E86,CTtable,2,FALSE))</f>
        <v/>
      </c>
      <c r="AA76" s="73" t="str">
        <f>IF(D86="","",HLOOKUP(D86,CTtable,2,FALSE))</f>
        <v/>
      </c>
      <c r="AB76" s="75" t="str">
        <f>IF(E87="","",HLOOKUP(E87,CTtable,2,FALSE))</f>
        <v/>
      </c>
      <c r="AC76" s="22" t="str">
        <f>IF(D87="","",HLOOKUP(D87,CTtable,2,FALSE))</f>
        <v/>
      </c>
      <c r="AD76" s="75" t="str">
        <f>IF(E88="","",HLOOKUP(E88,CTtable,2,FALSE))</f>
        <v/>
      </c>
      <c r="AE76" s="72" t="str">
        <f>IF($D$88="","",HLOOKUP($D$88,CTtable,2,FALSE))</f>
        <v/>
      </c>
      <c r="AF76" s="6"/>
      <c r="AG76" s="63" t="str">
        <f>IF(OR(X76="",Z76=""),"",Z76-((Z76-X76)*pH4fraction))</f>
        <v/>
      </c>
      <c r="AH76" s="77" t="str">
        <f>IF(OR(Y76="",AA76=""),"",AA76-((AA76-Y76)*pH4fraction))</f>
        <v/>
      </c>
      <c r="AI76" s="63" t="str">
        <f>IF(OR(AB76="",AD76=""),"",AD76-((AD76-AB76)*pH4fraction))</f>
        <v/>
      </c>
      <c r="AJ76" s="77" t="str">
        <f>IF(OR(AC76="",AE76=""),"",AE76-((AE76-AC76)*pH4fraction))</f>
        <v/>
      </c>
      <c r="AK76" s="22"/>
      <c r="AL76" s="98" t="str">
        <f>IF(OR(AG76="",AI76=""),"",AI76-((AI76-AG76)*Temp4fraction))</f>
        <v/>
      </c>
      <c r="AM76" s="99" t="str">
        <f>IF(OR(AH76="",AJ76=""),"",AJ76-((AJ76-AH76)*Temp4fraction))</f>
        <v/>
      </c>
      <c r="AN76" s="90" t="str">
        <f>IF(OR(AL76="",AM76=""),"",AM76-((AM76-AL76)*logIfraction))</f>
        <v/>
      </c>
      <c r="AO76" s="7"/>
      <c r="AQ76" s="28" t="s">
        <v>460</v>
      </c>
      <c r="AR76" s="6" t="str">
        <f>IF(OR(logVirusR="",'CT Worksheet'!B27&lt;&gt;"Cl2 (free)"),"",IF(logVirusR&lt;=2,1,IF(logVirusR&lt;=3,2,IF(logVirusR&lt;=4,3,4))))</f>
        <v/>
      </c>
      <c r="AS76" s="190">
        <f>IF(AR76=2,(3-logVirusR)/1,IF(AR76=3,(4-logVirusR)/1,IF(AR77=0,(2-logVirusR)/2,0)))</f>
        <v>0</v>
      </c>
      <c r="AT76" s="6"/>
      <c r="AU76" s="6"/>
      <c r="AV76" s="6"/>
      <c r="AW76" s="6"/>
      <c r="AX76" s="6"/>
      <c r="AY76" s="6"/>
      <c r="AZ76" s="6"/>
      <c r="BA76" s="6"/>
      <c r="BB76" s="6"/>
      <c r="BC76" s="6"/>
      <c r="BD76" s="6"/>
      <c r="BE76" s="6"/>
      <c r="BF76" s="7"/>
      <c r="BH76" s="235" t="s">
        <v>493</v>
      </c>
      <c r="BI76" s="237" t="str">
        <f>IF(OR(logGiardiaR="",'CT Worksheet'!B27&lt;&gt;"Chlorine Dioxide"),"",IF(logGiardiaR&lt;=0.5,1,IF(logGiardiaR&lt;=1,2,IF(logGiardiaR&lt;=1.5,3,IF(logGiardiaR&lt;=2,4,IF(logGiardiaR&lt;=2.5,5,6))))))</f>
        <v/>
      </c>
      <c r="BJ76" s="190">
        <f>IF(BI76=2,((1-logGiardiaR)/0.5),IF(BI76=3,((1.5-logGiardiaR)/0.5),IF(BI76=4,((2-logGiardiaR)/0.5),IF(BI76=5,((2.5-logGiardiaR)/0.5),IF(BI76=6,((3-logGiardiaR)/0.5),IF(BI77=0,(0.5-logGiardiaR)/0.5,0))))))</f>
        <v>0</v>
      </c>
      <c r="BK76" s="12"/>
      <c r="BL76" s="12"/>
      <c r="BM76" s="12"/>
      <c r="BN76" s="12"/>
      <c r="BO76" s="12"/>
      <c r="BP76" s="622" t="s">
        <v>498</v>
      </c>
      <c r="BQ76" s="622"/>
      <c r="BR76" s="622"/>
      <c r="BS76" s="238"/>
      <c r="BT76" s="12"/>
      <c r="BU76" s="235" t="s">
        <v>504</v>
      </c>
      <c r="BV76" s="237" t="str">
        <f>IF(OR(logGiardiaR="",'CT Worksheet'!B27&lt;&gt;"Ozone"),"",IF(logGiardiaR&lt;=0.5,1,IF(logGiardiaR&lt;=1,2,IF(logGiardiaR&lt;=1.5,3,IF(logGiardiaR&lt;=2,4,IF(logGiardiaR&lt;=2.5,5,6))))))</f>
        <v/>
      </c>
      <c r="BW76" s="190">
        <f>IF(BV76=2,((1-logGiardiaR)/0.5),IF(BV76=3,((1.5-logGiardiaR)/0.5),IF(BV76=4,((2-logGiardiaR)/0.5),IF(BV76=5,((2.5-logGiardiaR)/0.5),IF(BV76=6,((3-logGiardiaR)/0.5),IF(BV77=0,(0.5-logGiardiaR)/0.5,0))))))</f>
        <v>0</v>
      </c>
      <c r="BX76" s="12"/>
      <c r="BY76" s="12"/>
      <c r="BZ76" s="12"/>
      <c r="CA76" s="12"/>
      <c r="CB76" s="12"/>
      <c r="CC76" s="622" t="s">
        <v>498</v>
      </c>
      <c r="CD76" s="622"/>
      <c r="CE76" s="622"/>
      <c r="CF76" s="238"/>
      <c r="CG76" s="234"/>
      <c r="CH76" s="235" t="s">
        <v>508</v>
      </c>
      <c r="CI76" s="237" t="str">
        <f>IF(OR(logGiardiaR="",'CT Worksheet'!B27&lt;&gt;"Chloramine"),"",IF(logGiardiaR&lt;=0.5,1,IF(logGiardiaR&lt;=1,2,IF(logGiardiaR&lt;=1.5,3,IF(logGiardiaR&lt;=2,4,IF(logGiardiaR&lt;=2.5,5,6))))))</f>
        <v/>
      </c>
      <c r="CJ76" s="190">
        <f>IF(CI76=2,((1-logGiardiaR)/0.5),IF(CI76=3,((1.5-logGiardiaR)/0.5),IF(CI76=4,((2-logGiardiaR)/0.5),IF(CI76=5,((2.5-logGiardiaR)/0.5),IF(CI76=6,((3-logGiardiaR)/0.5),IF(CI77=0,(0.5-logGiardiaR)/0.5,0))))))</f>
        <v>0</v>
      </c>
      <c r="CK76" s="12"/>
      <c r="CL76" s="12"/>
      <c r="CM76" s="12"/>
      <c r="CN76" s="12"/>
      <c r="CO76" s="12"/>
      <c r="CP76" s="622" t="s">
        <v>498</v>
      </c>
      <c r="CQ76" s="622"/>
      <c r="CR76" s="622"/>
      <c r="CS76" s="238"/>
      <c r="CU76" s="28" t="s">
        <v>69</v>
      </c>
      <c r="CV76" s="6" t="str">
        <f>IF(pH_4="","",IF(pH_4&lt;=6,1,IF(pH_4&lt;=7,2,IF(pH_4&lt;=8,3,IF(pH_4&lt;=9,4,0)))))</f>
        <v/>
      </c>
      <c r="CW76" s="190">
        <f>IF(CV76=2,((7-pH_4)/1),IF(CV76=3,((8-pH_4)/1),IF(CV76=4,((9-pH_4)/1),0)))</f>
        <v>0</v>
      </c>
      <c r="CX76" s="6"/>
      <c r="CY76" s="6"/>
      <c r="CZ76" s="6"/>
      <c r="DA76" s="565" t="s">
        <v>443</v>
      </c>
      <c r="DB76" s="565"/>
      <c r="DC76" s="565"/>
      <c r="DD76" s="565"/>
      <c r="DE76" s="6"/>
      <c r="DF76" s="6"/>
      <c r="DG76" s="6"/>
      <c r="DH76" s="6"/>
      <c r="DI76" s="6"/>
      <c r="DJ76" s="6"/>
      <c r="DK76" s="241"/>
      <c r="DL76" s="440"/>
      <c r="DM76" s="410" t="s">
        <v>660</v>
      </c>
      <c r="DN76" s="441" t="str">
        <f>IF(AND('CT Worksheet'!B27="Ozone",F10&lt;&gt;""),1,"")</f>
        <v/>
      </c>
      <c r="DO76" s="7"/>
    </row>
    <row r="77" spans="1:119" ht="13.5" thickBot="1" x14ac:dyDescent="0.25">
      <c r="A77" s="28" t="s">
        <v>90</v>
      </c>
      <c r="B77" s="6" t="str">
        <f>IF(B76="","",IF(B76&gt;=2,B76-1,1))</f>
        <v/>
      </c>
      <c r="C77" s="6"/>
      <c r="D77" s="6"/>
      <c r="E77" s="6"/>
      <c r="F77" s="22"/>
      <c r="G77" s="6"/>
      <c r="H77" s="6"/>
      <c r="I77" s="45" t="e">
        <f>CONCATENATE(VLOOKUP(B81,CL2Category,2,FALSE)," mg/l")</f>
        <v>#N/A</v>
      </c>
      <c r="J77" s="61" t="str">
        <f>IF(OR(F10="",E85=""),"",HLOOKUP(E85,CTtable,B81+1,FALSE))</f>
        <v/>
      </c>
      <c r="K77" s="42" t="str">
        <f>IF(OR(F10="",D85=""),"",HLOOKUP(D85,CTtable,B81+1,FALSE))</f>
        <v/>
      </c>
      <c r="L77" s="62" t="str">
        <f>IF(OR(F10="",E86=""),"",HLOOKUP(E86,CTtable,B81+1,FALSE))</f>
        <v/>
      </c>
      <c r="M77" s="72" t="str">
        <f>IF(OR(F10="",D86=""),"",HLOOKUP(D86,CTtable,B81+1,FALSE))</f>
        <v/>
      </c>
      <c r="N77" s="22"/>
      <c r="O77" s="63" t="str">
        <f>IF(OR(J77="",L77=""),"",L77-((L77-J77)*C76))</f>
        <v/>
      </c>
      <c r="P77" s="64" t="str">
        <f>IF(OR(M77="",M77=""),"",M77-((M77-K77)*C76))</f>
        <v/>
      </c>
      <c r="Q77" s="65" t="str">
        <f>IF(OR(P77="",O77=""),"",P77-((P77-O77)*C74))</f>
        <v/>
      </c>
      <c r="R77" s="22"/>
      <c r="S77" s="65" t="str">
        <f>IF(OR(Q82="",Q77=""),"",Q82-((Q82-Q77)*C78))</f>
        <v/>
      </c>
      <c r="T77" s="66" t="str">
        <f>IF(OR(S78="",S77=""),"",S78-((S78-S77)*C80))</f>
        <v/>
      </c>
      <c r="U77" s="7"/>
      <c r="V77" s="28"/>
      <c r="W77" s="58">
        <v>0.6</v>
      </c>
      <c r="X77" s="75" t="str">
        <f>IF(E85="","",HLOOKUP(E85,CTtable,3,FALSE))</f>
        <v/>
      </c>
      <c r="Y77" s="22" t="str">
        <f>IF(D85="","",HLOOKUP(D85,CTtable,3,FALSE))</f>
        <v/>
      </c>
      <c r="Z77" s="75" t="str">
        <f>IF(E86="","",HLOOKUP(E86,CTtable,3,FALSE))</f>
        <v/>
      </c>
      <c r="AA77" s="73" t="str">
        <f>IF(D86="","",HLOOKUP(D86,CTtable,3,FALSE))</f>
        <v/>
      </c>
      <c r="AB77" s="75" t="str">
        <f>IF(E87="","",HLOOKUP(E87,CTtable,3,FALSE))</f>
        <v/>
      </c>
      <c r="AC77" s="22" t="str">
        <f>IF(D87="","",HLOOKUP(D87,CTtable,3,FALSE))</f>
        <v/>
      </c>
      <c r="AD77" s="75" t="str">
        <f>IF(E88="","",HLOOKUP(E88,CTtable,3,FALSE))</f>
        <v/>
      </c>
      <c r="AE77" s="73" t="str">
        <f>IF($D$88="","",HLOOKUP($D$88,CTtable,3,FALSE))</f>
        <v/>
      </c>
      <c r="AF77" s="6"/>
      <c r="AG77" s="78" t="str">
        <f t="shared" ref="AG77:AG89" si="30">IF(OR(X77="",Z77=""),"",Z77-((Z77-X77)*pH4fraction))</f>
        <v/>
      </c>
      <c r="AH77" s="79" t="str">
        <f t="shared" ref="AH77:AH89" si="31">IF(OR(Y77="",AA77=""),"",AA77-((AA77-Y77)*pH4fraction))</f>
        <v/>
      </c>
      <c r="AI77" s="78" t="str">
        <f t="shared" ref="AI77:AI89" si="32">IF(OR(AB77="",AD77=""),"",AD77-((AD77-AB77)*pH4fraction))</f>
        <v/>
      </c>
      <c r="AJ77" s="79" t="str">
        <f t="shared" ref="AJ77:AJ89" si="33">IF(OR(AC77="",AE77=""),"",AE77-((AE77-AC77)*pH4fraction))</f>
        <v/>
      </c>
      <c r="AK77" s="22"/>
      <c r="AL77" s="100" t="str">
        <f t="shared" ref="AL77:AL89" si="34">IF(OR(AG77="",AI77=""),"",AI77-((AI77-AG77)*Temp4fraction))</f>
        <v/>
      </c>
      <c r="AM77" s="101" t="str">
        <f t="shared" ref="AM77:AM89" si="35">IF(OR(AH77="",AJ77=""),"",AJ77-((AJ77-AH77)*Temp4fraction))</f>
        <v/>
      </c>
      <c r="AN77" s="91" t="str">
        <f t="shared" ref="AN77:AN89" si="36">IF(OR(AL77="",AM77=""),"",AM77-((AM77-AL77)*logIfraction))</f>
        <v/>
      </c>
      <c r="AO77" s="7"/>
      <c r="AQ77" s="28" t="s">
        <v>461</v>
      </c>
      <c r="AR77" s="6" t="str">
        <f>IF(AR76="","",IF(AR76&gt;=2,AR76-1,IF(logVirusR&lt;2,0,1)))</f>
        <v/>
      </c>
      <c r="AS77" s="6"/>
      <c r="AT77" s="6"/>
      <c r="AU77" s="6"/>
      <c r="AV77" s="565" t="s">
        <v>443</v>
      </c>
      <c r="AW77" s="565"/>
      <c r="AX77" s="565"/>
      <c r="AY77" s="565"/>
      <c r="AZ77" s="6"/>
      <c r="BA77" s="6"/>
      <c r="BB77" s="6"/>
      <c r="BC77" s="6"/>
      <c r="BD77" s="6"/>
      <c r="BE77" s="6"/>
      <c r="BF77" s="7"/>
      <c r="BH77" s="235" t="s">
        <v>494</v>
      </c>
      <c r="BI77" s="239" t="str">
        <f>IF(BI76="","",IF(BI76&gt;=2,BI76-1,IF(logGiardiaR&lt;0.5,0,1)))</f>
        <v/>
      </c>
      <c r="BJ77" s="12"/>
      <c r="BK77" s="12"/>
      <c r="BL77" s="12"/>
      <c r="BM77" s="619" t="s">
        <v>495</v>
      </c>
      <c r="BN77" s="619"/>
      <c r="BO77" s="240"/>
      <c r="BP77" s="241" t="s">
        <v>497</v>
      </c>
      <c r="BQ77" s="241"/>
      <c r="BR77" s="81" t="s">
        <v>58</v>
      </c>
      <c r="BS77" s="236"/>
      <c r="BT77" s="12"/>
      <c r="BU77" s="235" t="s">
        <v>505</v>
      </c>
      <c r="BV77" s="239" t="str">
        <f>IF(BV76="","",IF(BV76&gt;=2,BV76-1,IF(logGiardiaR&lt;0.5,0,1)))</f>
        <v/>
      </c>
      <c r="BW77" s="12"/>
      <c r="BX77" s="12"/>
      <c r="BY77" s="12"/>
      <c r="BZ77" s="619" t="s">
        <v>495</v>
      </c>
      <c r="CA77" s="619"/>
      <c r="CB77" s="240"/>
      <c r="CC77" s="241" t="s">
        <v>497</v>
      </c>
      <c r="CD77" s="241"/>
      <c r="CE77" s="81" t="s">
        <v>58</v>
      </c>
      <c r="CF77" s="236"/>
      <c r="CG77" s="234"/>
      <c r="CH77" s="235" t="s">
        <v>522</v>
      </c>
      <c r="CI77" s="239" t="str">
        <f>IF(CI76="","",IF(CI76&gt;=2,CI76-1,IF(logGiardiaR&lt;0.5,0,1)))</f>
        <v/>
      </c>
      <c r="CJ77" s="12"/>
      <c r="CK77" s="12"/>
      <c r="CL77" s="12"/>
      <c r="CM77" s="619" t="s">
        <v>495</v>
      </c>
      <c r="CN77" s="619"/>
      <c r="CO77" s="240"/>
      <c r="CP77" s="241" t="s">
        <v>497</v>
      </c>
      <c r="CQ77" s="241"/>
      <c r="CR77" s="81" t="s">
        <v>58</v>
      </c>
      <c r="CS77" s="236"/>
      <c r="CU77" s="28" t="s">
        <v>74</v>
      </c>
      <c r="CV77" s="12" t="str">
        <f>IF(CV76="","",IF(CV76=0,0,IF(CV76&gt;=2,CV76-1,1)))</f>
        <v/>
      </c>
      <c r="CW77" s="12"/>
      <c r="CX77" s="6"/>
      <c r="CY77" s="6"/>
      <c r="CZ77" s="6"/>
      <c r="DA77" s="22" t="e">
        <f>CONCATENATE(HLOOKUP(CX85,MicrocystinTable,2,FALSE)," ",'CT Tables'!$B$161)</f>
        <v>#N/A</v>
      </c>
      <c r="DB77" s="67" t="e">
        <f>CONCATENATE(HLOOKUP(CW85,MicrocystinTable,2,FALSE)," ",'CT Tables'!$B$161)</f>
        <v>#N/A</v>
      </c>
      <c r="DC77" s="60" t="e">
        <f>CONCATENATE(HLOOKUP(CX86,MicrocystinTable,2,FALSE)," ",'CT Tables'!$B$161)</f>
        <v>#N/A</v>
      </c>
      <c r="DD77" s="67" t="e">
        <f>CONCATENATE(HLOOKUP(CW86,MicrocystinTable,2,FALSE)," ",'CT Tables'!$B$161)</f>
        <v>#N/A</v>
      </c>
      <c r="DE77" s="6"/>
      <c r="DF77" s="22" t="e">
        <f>DA77</f>
        <v>#N/A</v>
      </c>
      <c r="DG77" s="22" t="e">
        <f>DB77</f>
        <v>#N/A</v>
      </c>
      <c r="DH77" s="24" t="str">
        <f>CONCATENATE(MicrocystinR," ug/l")</f>
        <v xml:space="preserve"> ug/l</v>
      </c>
      <c r="DI77" s="6"/>
      <c r="DJ77" s="24" t="str">
        <f>CONCATENATE('CT Worksheet'!C26,'CT Worksheet'!D26)</f>
        <v/>
      </c>
      <c r="DK77" s="241"/>
      <c r="DL77" s="440"/>
      <c r="DM77" s="241"/>
      <c r="DN77" s="241"/>
      <c r="DO77" s="7"/>
    </row>
    <row r="78" spans="1:119" ht="13.5" thickBot="1" x14ac:dyDescent="0.25">
      <c r="A78" s="28" t="s">
        <v>93</v>
      </c>
      <c r="B78" s="6" t="str">
        <f>IF(Temp4="","",IF(Temp4&lt;=0,"",IF(Temp4&lt;=0.5,1,IF(Temp4&lt;=5,2,IF(Temp4&lt;=10,3,IF(Temp4&lt;=15,4,IF(Temp4&lt;=20,5,6)))))))</f>
        <v/>
      </c>
      <c r="C78" s="44">
        <f>IF(B79=6,0,IF(B78=2,((5-Temp4)/4.5),IF(B78=3,((10-Temp4)/5),IF(B78=4,((15-Temp4)/5),IF(B78=5,((20-Temp4)/5),IF(B78=6,((25-Temp4)/5),0))))))</f>
        <v>0</v>
      </c>
      <c r="D78" s="6"/>
      <c r="E78" s="6"/>
      <c r="F78" s="22"/>
      <c r="G78" s="6"/>
      <c r="H78" s="6"/>
      <c r="I78" s="45" t="e">
        <f>CONCATENATE(VLOOKUP(B80,CL2Category,2,FALSE)," mg/l")</f>
        <v>#N/A</v>
      </c>
      <c r="J78" s="67" t="str">
        <f>IF(OR(F10="",E85=""),"",HLOOKUP(E85,CTtable,IF(B80=15,B80,B80+1),FALSE))</f>
        <v/>
      </c>
      <c r="K78" s="59" t="str">
        <f>IF(OR(F10="",D85=""),"",HLOOKUP(D85,CTtable,IF(B80=15,B80,B80+1),FALSE))</f>
        <v/>
      </c>
      <c r="L78" s="68" t="str">
        <f>IF(OR(F10="",E86=""),"",HLOOKUP(E86,CTtable,IF(B80=15,B80,B80+1),FALSE))</f>
        <v/>
      </c>
      <c r="M78" s="74" t="str">
        <f>IF(OR(F10="",D86=""),"",HLOOKUP(D86,CTtable,IF(B80=15,B80,B80+1),FALSE))</f>
        <v/>
      </c>
      <c r="N78" s="22"/>
      <c r="O78" s="69" t="str">
        <f>IF(OR(J78="",L78=""),"",L78-((L78-J78)*C76))</f>
        <v/>
      </c>
      <c r="P78" s="70" t="str">
        <f>IF(OR(M78="",M78=""),"",M78-((M78-K78)*C76))</f>
        <v/>
      </c>
      <c r="Q78" s="71" t="str">
        <f>IF(OR(P78="",O78=""),"",P78-((P78-O78)*C74))</f>
        <v/>
      </c>
      <c r="R78" s="22"/>
      <c r="S78" s="71" t="str">
        <f>IF(OR(Q83="",Q78=""),"",Q83-((Q83-Q78)*C78))</f>
        <v/>
      </c>
      <c r="T78" s="22"/>
      <c r="U78" s="7"/>
      <c r="V78" s="28"/>
      <c r="W78" s="58">
        <v>0.8</v>
      </c>
      <c r="X78" s="75" t="str">
        <f>IF(E85="","",HLOOKUP(E85,CTtable,4,FALSE))</f>
        <v/>
      </c>
      <c r="Y78" s="22" t="str">
        <f>IF(D85="","",HLOOKUP(D85,CTtable,4,FALSE))</f>
        <v/>
      </c>
      <c r="Z78" s="75" t="str">
        <f>IF(E86="","",HLOOKUP(E86,CTtable,4,FALSE))</f>
        <v/>
      </c>
      <c r="AA78" s="73" t="str">
        <f>IF(D86="","",HLOOKUP(D86,CTtable,4,FALSE))</f>
        <v/>
      </c>
      <c r="AB78" s="75" t="str">
        <f>IF(E87="","",HLOOKUP(E87,CTtable,4,FALSE))</f>
        <v/>
      </c>
      <c r="AC78" s="22" t="str">
        <f>IF(D87="","",HLOOKUP(D87,CTtable,4,FALSE))</f>
        <v/>
      </c>
      <c r="AD78" s="75" t="str">
        <f>IF(E88="","",HLOOKUP(E88,CTtable,4,FALSE))</f>
        <v/>
      </c>
      <c r="AE78" s="73" t="str">
        <f>IF($D$88="","",HLOOKUP($D$88,CTtable,4,FALSE))</f>
        <v/>
      </c>
      <c r="AF78" s="6"/>
      <c r="AG78" s="78" t="str">
        <f t="shared" si="30"/>
        <v/>
      </c>
      <c r="AH78" s="79" t="str">
        <f t="shared" si="31"/>
        <v/>
      </c>
      <c r="AI78" s="78" t="str">
        <f t="shared" si="32"/>
        <v/>
      </c>
      <c r="AJ78" s="79" t="str">
        <f t="shared" si="33"/>
        <v/>
      </c>
      <c r="AK78" s="22"/>
      <c r="AL78" s="100" t="str">
        <f t="shared" si="34"/>
        <v/>
      </c>
      <c r="AM78" s="101" t="str">
        <f t="shared" si="35"/>
        <v/>
      </c>
      <c r="AN78" s="91" t="str">
        <f t="shared" si="36"/>
        <v/>
      </c>
      <c r="AO78" s="7"/>
      <c r="AQ78" s="28" t="s">
        <v>517</v>
      </c>
      <c r="AR78" s="6" t="str">
        <f>IF(pH_4="","",IF(pH_4&lt;=9,1,IF(pH_4&lt;=10,2,3)))</f>
        <v/>
      </c>
      <c r="AS78" s="44">
        <f>IF(AR78=2,((10-pH_4)/1),0)</f>
        <v>0</v>
      </c>
      <c r="AT78" s="6"/>
      <c r="AU78" s="6"/>
      <c r="AV78" s="22" t="e">
        <f>HLOOKUP(AT84,VirusCTtable,2,FALSE)</f>
        <v>#N/A</v>
      </c>
      <c r="AW78" s="67" t="e">
        <f>HLOOKUP(AS84,VirusCTtable,2,FALSE)</f>
        <v>#N/A</v>
      </c>
      <c r="AX78" s="60" t="e">
        <f>HLOOKUP(AT85,VirusCTtable,2,FALSE)</f>
        <v>#N/A</v>
      </c>
      <c r="AY78" s="67" t="e">
        <f>HLOOKUP(AS85,VirusCTtable,2,FALSE)</f>
        <v>#N/A</v>
      </c>
      <c r="AZ78" s="6"/>
      <c r="BA78" s="22" t="e">
        <f>AV78</f>
        <v>#N/A</v>
      </c>
      <c r="BB78" s="22" t="e">
        <f>AW78</f>
        <v>#N/A</v>
      </c>
      <c r="BC78" s="24" t="str">
        <f>CONCATENATE('CT Worksheet'!S4,"-log")</f>
        <v>-log</v>
      </c>
      <c r="BD78" s="6"/>
      <c r="BE78" s="24" t="str">
        <f>CONCATENATE('CT Worksheet'!C26,'CT Worksheet'!D26)</f>
        <v/>
      </c>
      <c r="BF78" s="7"/>
      <c r="BH78" s="235" t="s">
        <v>491</v>
      </c>
      <c r="BI78" s="237" t="str">
        <f>IF(OR(logVirusR="",'CT Worksheet'!B27&lt;&gt;"Chlorine Dioxide"),"",IF(logVirusR&lt;=2,1,IF(logVirusR&lt;=3,2,IF(logVirusR&lt;=4,3,4))))</f>
        <v/>
      </c>
      <c r="BJ78" s="190">
        <f>IF(BI78=2,(3-logVirusR)/1,IF(BI78=3,(4-logVirusR)/1,IF(BI79=0,(2-logVirusR)/2,0)))</f>
        <v>0</v>
      </c>
      <c r="BK78" s="12"/>
      <c r="BL78" s="12"/>
      <c r="BM78" s="81" t="e">
        <f>HLOOKUP(BI77,ClOgTable,2,FALSE)</f>
        <v>#N/A</v>
      </c>
      <c r="BN78" s="81" t="e">
        <f>HLOOKUP(BI76,ClOgTable,2,FALSE)</f>
        <v>#N/A</v>
      </c>
      <c r="BO78" s="81"/>
      <c r="BP78" s="211" t="str">
        <f>CONCATENATE(logGiardiaR,"-log")</f>
        <v>-log</v>
      </c>
      <c r="BQ78" s="12"/>
      <c r="BR78" s="211" t="str">
        <f>CONCATENATE('CT Worksheet'!C26,'CT Worksheet'!D26)</f>
        <v/>
      </c>
      <c r="BS78" s="242"/>
      <c r="BT78" s="234"/>
      <c r="BU78" s="235" t="s">
        <v>506</v>
      </c>
      <c r="BV78" s="237" t="str">
        <f>IF(OR(logVirusR="",'CT Worksheet'!B27&lt;&gt;"Ozone"),"",IF(logVirusR&lt;=2,1,IF(logVirusR&lt;=3,2,IF(logVirusR&lt;=4,3,4))))</f>
        <v/>
      </c>
      <c r="BW78" s="190">
        <f>IF(BV78=2,(3-logVirusR)/1,IF(BV78=3,(4-logVirusR)/1,IF(BV79=0,(2-logVirusR)/2,0)))</f>
        <v>0</v>
      </c>
      <c r="BX78" s="12"/>
      <c r="BY78" s="12"/>
      <c r="BZ78" s="81" t="e">
        <f>HLOOKUP(BV77,O3gTable,2,FALSE)</f>
        <v>#N/A</v>
      </c>
      <c r="CA78" s="81" t="e">
        <f>HLOOKUP(BV76,O3gTable,2,FALSE)</f>
        <v>#N/A</v>
      </c>
      <c r="CB78" s="81"/>
      <c r="CC78" s="211" t="str">
        <f>CONCATENATE(logGiardiaR,"-log")</f>
        <v>-log</v>
      </c>
      <c r="CD78" s="12"/>
      <c r="CE78" s="211" t="str">
        <f>CONCATENATE('CT Worksheet'!C26,'CT Worksheet'!D26)</f>
        <v/>
      </c>
      <c r="CF78" s="242"/>
      <c r="CG78" s="234"/>
      <c r="CH78" s="235" t="s">
        <v>509</v>
      </c>
      <c r="CI78" s="237" t="str">
        <f>IF(OR(logVirusR="",'CT Worksheet'!B27&lt;&gt;"Chloramine"),"",IF(logVirusR&lt;=2,1,IF(logVirusR&lt;=3,2,IF(logVirusR&lt;=4,3,4))))</f>
        <v/>
      </c>
      <c r="CJ78" s="190">
        <f>IF(CI78=2,(3-logVirusR)/1,IF(CI78=3,(4-logVirusR)/1,IF(CI79=0,(2-logVirusR)/2,0)))</f>
        <v>0</v>
      </c>
      <c r="CK78" s="12"/>
      <c r="CL78" s="12"/>
      <c r="CM78" s="81" t="e">
        <f>HLOOKUP(CI77,ChloramineTableG,2,FALSE)</f>
        <v>#N/A</v>
      </c>
      <c r="CN78" s="81" t="e">
        <f>HLOOKUP(CI76,ChloramineTableG,2,FALSE)</f>
        <v>#N/A</v>
      </c>
      <c r="CO78" s="81"/>
      <c r="CP78" s="211" t="str">
        <f>CONCATENATE(logGiardiaR,"-log")</f>
        <v>-log</v>
      </c>
      <c r="CQ78" s="12"/>
      <c r="CR78" s="211" t="str">
        <f>CONCATENATE('CT Worksheet'!C11,'CT Worksheet'!D11)</f>
        <v/>
      </c>
      <c r="CS78" s="242"/>
      <c r="CU78" s="28" t="s">
        <v>71</v>
      </c>
      <c r="CV78" s="12" t="str">
        <f>IF(Temp4="","",IF(Temp4&lt;=0,"",IF(Temp4&lt;=10,1,IF(Temp4&lt;=15,2,IF(Temp4&lt;=20,3,4)))))</f>
        <v/>
      </c>
      <c r="CW78" s="190">
        <f>IF(CV79=4,0,IF(Temp4&gt;25,0,IF(CV78=2,((15-Temp4)/5),IF(CV78=3,((20-Temp4)/5),IF(CV78=4,((25-Temp4)/5),0)))))</f>
        <v>0</v>
      </c>
      <c r="CX78" s="6"/>
      <c r="CY78" s="6"/>
      <c r="CZ78" s="45" t="e">
        <f>CONCATENATE(VLOOKUP(CV79,MicrocystinTable,2,FALSE)," C")</f>
        <v>#N/A</v>
      </c>
      <c r="DA78" s="145" t="str">
        <f>IF(OR(F10="",CX85=""),"",HLOOKUP(CX85,MicrocystinTable,CV79+2,FALSE))</f>
        <v/>
      </c>
      <c r="DB78" s="61" t="str">
        <f>IF(OR(F10="",CW85=""),"",HLOOKUP(CW85,MicrocystinTable,CV79+2,FALSE))</f>
        <v/>
      </c>
      <c r="DC78" s="62" t="str">
        <f>IF(OR(F10="",CX86=""),"",HLOOKUP(CX86,MicrocystinTable,CV79+2,FALSE))</f>
        <v/>
      </c>
      <c r="DD78" s="434" t="str">
        <f>IF(OR(F10="",CW86=""),"",HLOOKUP(CW86,MicrocystinTable,CV79+2,FALSE))</f>
        <v/>
      </c>
      <c r="DE78" s="6"/>
      <c r="DF78" s="219" t="str">
        <f>IF(OR(DA78="",DC78=""),"",DC78-((DC78-DA78)*CW76))</f>
        <v/>
      </c>
      <c r="DG78" s="176" t="str">
        <f>IF(OR(DD78="",DD78=""),"",DD78-((DD78-DB78)*CW76))</f>
        <v/>
      </c>
      <c r="DH78" s="177" t="str">
        <f>IF(OR(DG78="",DF78=""),"",DG78-((DG78-DF78)*CW74))</f>
        <v/>
      </c>
      <c r="DI78" s="22"/>
      <c r="DJ78" s="182" t="str">
        <f>IF(OR(DH78="",DH79=""),"",DH79-((DH79-DH78)*CW78))</f>
        <v/>
      </c>
      <c r="DK78" s="241"/>
      <c r="DL78" s="440"/>
      <c r="DM78" s="241"/>
      <c r="DN78" s="241"/>
      <c r="DO78" s="7"/>
    </row>
    <row r="79" spans="1:119" ht="13.5" thickBot="1" x14ac:dyDescent="0.25">
      <c r="A79" s="28" t="s">
        <v>94</v>
      </c>
      <c r="B79" s="6" t="str">
        <f>IF(B78="","",IF(Temp4&gt;=25,6,IF(B78&gt;=2,B78-1,1)))</f>
        <v/>
      </c>
      <c r="C79" s="6"/>
      <c r="D79" s="6"/>
      <c r="E79" s="6"/>
      <c r="F79" s="22"/>
      <c r="G79" s="6"/>
      <c r="H79" s="40"/>
      <c r="I79" s="6"/>
      <c r="J79" s="566" t="e">
        <f>CONCATENATE("pH ",HLOOKUP(D85,CTtable,17,FALSE),", ",HLOOKUP(D85,CTtable,18,FALSE),"C")</f>
        <v>#N/A</v>
      </c>
      <c r="K79" s="567"/>
      <c r="L79" s="568" t="e">
        <f>CONCATENATE("pH ",HLOOKUP(D86,CTtable,17,FALSE),", ",HLOOKUP(D86,CTtable,18,FALSE),"C")</f>
        <v>#N/A</v>
      </c>
      <c r="M79" s="566"/>
      <c r="N79" s="22"/>
      <c r="O79" s="613" t="e">
        <f>CONCATENATE("pH ",'CT Worksheet'!C28,", ",HLOOKUP(D85,CTtable,18,FALSE),"C")</f>
        <v>#N/A</v>
      </c>
      <c r="P79" s="613"/>
      <c r="Q79" s="613"/>
      <c r="R79" s="22"/>
      <c r="S79" s="22"/>
      <c r="T79" s="22"/>
      <c r="U79" s="7"/>
      <c r="V79" s="28"/>
      <c r="W79" s="58">
        <v>1</v>
      </c>
      <c r="X79" s="75" t="str">
        <f>IF(E85="","",HLOOKUP(E85,CTtable,5,FALSE))</f>
        <v/>
      </c>
      <c r="Y79" s="22" t="str">
        <f>IF(D85="","",HLOOKUP(D85,CTtable,5,FALSE))</f>
        <v/>
      </c>
      <c r="Z79" s="75" t="str">
        <f>IF(E86="","",HLOOKUP(E86,CTtable,5,FALSE))</f>
        <v/>
      </c>
      <c r="AA79" s="73" t="str">
        <f>IF(D86="","",HLOOKUP(D86,CTtable,5,FALSE))</f>
        <v/>
      </c>
      <c r="AB79" s="75" t="str">
        <f>IF(E87="","",HLOOKUP(E87,CTtable,5,FALSE))</f>
        <v/>
      </c>
      <c r="AC79" s="22" t="str">
        <f>IF(D87="","",HLOOKUP(D87,CTtable,5,FALSE))</f>
        <v/>
      </c>
      <c r="AD79" s="75" t="str">
        <f>IF(E88="","",HLOOKUP(E88,CTtable,5,FALSE))</f>
        <v/>
      </c>
      <c r="AE79" s="73" t="str">
        <f>IF($D$88="","",HLOOKUP($D$88,CTtable,5,FALSE))</f>
        <v/>
      </c>
      <c r="AF79" s="6"/>
      <c r="AG79" s="78" t="str">
        <f t="shared" si="30"/>
        <v/>
      </c>
      <c r="AH79" s="79" t="str">
        <f t="shared" si="31"/>
        <v/>
      </c>
      <c r="AI79" s="78" t="str">
        <f t="shared" si="32"/>
        <v/>
      </c>
      <c r="AJ79" s="79" t="str">
        <f t="shared" si="33"/>
        <v/>
      </c>
      <c r="AK79" s="22"/>
      <c r="AL79" s="100" t="str">
        <f t="shared" si="34"/>
        <v/>
      </c>
      <c r="AM79" s="101" t="str">
        <f t="shared" si="35"/>
        <v/>
      </c>
      <c r="AN79" s="91" t="str">
        <f t="shared" si="36"/>
        <v/>
      </c>
      <c r="AO79" s="7"/>
      <c r="AQ79" s="28" t="s">
        <v>518</v>
      </c>
      <c r="AR79" s="6" t="str">
        <f>IF(AR78="","",IF(AR78&gt;=2,AR78-1,1))</f>
        <v/>
      </c>
      <c r="AS79" s="6"/>
      <c r="AT79" s="6"/>
      <c r="AU79" s="45" t="e">
        <f>CONCATENATE(VLOOKUP(AR81,VirusCTtable,2,FALSE)," C")</f>
        <v>#N/A</v>
      </c>
      <c r="AV79" s="145" t="str">
        <f>IF(OR(F10="",AT84=""),"",HLOOKUP(AT84,VirusCTtable,AR81+2,FALSE))</f>
        <v/>
      </c>
      <c r="AW79" s="61" t="str">
        <f>IF(OR(F10="",AS84=""),"",HLOOKUP(AS84,VirusCTtable,AR81+2,FALSE))</f>
        <v/>
      </c>
      <c r="AX79" s="62" t="str">
        <f>IF(OR(F10="",AT85=""),"",HLOOKUP(AT85,VirusCTtable,AR81+2,FALSE))</f>
        <v/>
      </c>
      <c r="AY79" s="172" t="str">
        <f>IF(OR(F10="",AS85=""),"",HLOOKUP(AS85,VirusCTtable,AR81+2,FALSE))</f>
        <v/>
      </c>
      <c r="AZ79" s="6"/>
      <c r="BA79" s="175" t="str">
        <f>IF(OR(AV79="",AX79=""),"",AX79-((AX79-AV79)*AS78))</f>
        <v/>
      </c>
      <c r="BB79" s="176" t="str">
        <f>IF(OR(AY79="",AY79=""),"",AY79-((AY79-AW79)*AS78))</f>
        <v/>
      </c>
      <c r="BC79" s="177" t="str">
        <f>IF(OR(BB79="",BA79=""),"",BB79-((BB79-BA79)*AS76))</f>
        <v/>
      </c>
      <c r="BD79" s="22"/>
      <c r="BE79" s="182" t="str">
        <f>IF(OR(BC79="",BC80=""),"",BC80-((BC80-BC79)*AS80))</f>
        <v/>
      </c>
      <c r="BF79" s="7"/>
      <c r="BH79" s="235" t="s">
        <v>492</v>
      </c>
      <c r="BI79" s="237" t="str">
        <f>IF(BI78="","",IF(BI78&gt;=2,BI78-1,IF(logVirusR&lt;2,0,1)))</f>
        <v/>
      </c>
      <c r="BJ79" s="12"/>
      <c r="BK79" s="12"/>
      <c r="BL79" s="243" t="e">
        <f>CONCATENATE(VLOOKUP(BI82,ClOgTable,2,FALSE)," C")</f>
        <v>#N/A</v>
      </c>
      <c r="BM79" s="244" t="str">
        <f>IF(OR(F10="",BI77=""),"",HLOOKUP(BI77,ClOgTable,BI82+2,FALSE))</f>
        <v/>
      </c>
      <c r="BN79" s="244" t="str">
        <f>IF(OR(F10="",BI76=""),"",HLOOKUP(BI76,ClOgTable,BI82+2,FALSE))</f>
        <v/>
      </c>
      <c r="BO79" s="81"/>
      <c r="BP79" s="219" t="str">
        <f>IF(OR(BN79="",BM79=""),"",BN79-((BN79-BM79)*BJ76))</f>
        <v/>
      </c>
      <c r="BQ79" s="12"/>
      <c r="BR79" s="182" t="str">
        <f>IF(OR(BP79="",BP80=""),"",BP80-((BP80-BP79)*BJ81))</f>
        <v/>
      </c>
      <c r="BS79" s="222"/>
      <c r="BT79" s="234"/>
      <c r="BU79" s="235" t="s">
        <v>507</v>
      </c>
      <c r="BV79" s="237" t="str">
        <f>IF(BV78="","",IF(BV78&gt;=2,BV78-1,IF(logVirusR&lt;2,0,1)))</f>
        <v/>
      </c>
      <c r="BW79" s="12"/>
      <c r="BX79" s="12"/>
      <c r="BY79" s="243" t="e">
        <f>CONCATENATE(VLOOKUP(BV82,ClOgTable,2,FALSE)," C")</f>
        <v>#N/A</v>
      </c>
      <c r="BZ79" s="244" t="str">
        <f>IF(OR(F10="",BV77=""),"",HLOOKUP(BV77,O3gTable,BV82+2,FALSE))</f>
        <v/>
      </c>
      <c r="CA79" s="244" t="str">
        <f>IF(OR(F10="",BV76=""),"",HLOOKUP(BV76,O3gTable,BV82+2,FALSE))</f>
        <v/>
      </c>
      <c r="CB79" s="81"/>
      <c r="CC79" s="219" t="str">
        <f>IF(OR(CA79="",BZ79=""),"",CA79-((CA79-BZ79)*BW76))</f>
        <v/>
      </c>
      <c r="CD79" s="12"/>
      <c r="CE79" s="182" t="str">
        <f>IF(OR(CC79="",CC80=""),"",CC80-((CC80-CC79)*BW81))</f>
        <v/>
      </c>
      <c r="CF79" s="222"/>
      <c r="CG79" s="234"/>
      <c r="CH79" s="235" t="s">
        <v>510</v>
      </c>
      <c r="CI79" s="237" t="str">
        <f>IF(CI78="","",IF(CI78&gt;=2,CI78-1,IF(logVirusR&lt;2,0,1)))</f>
        <v/>
      </c>
      <c r="CJ79" s="12"/>
      <c r="CK79" s="12"/>
      <c r="CL79" s="243" t="e">
        <f>CONCATENATE(VLOOKUP(CI82,ChloramineTableG,2,FALSE)," C")</f>
        <v>#N/A</v>
      </c>
      <c r="CM79" s="244" t="str">
        <f>IF(OR(F10="",CI77="",'CT Worksheet'!C28&gt;9),"",HLOOKUP(CI77,ChloramineTableG,CI82+2,FALSE))</f>
        <v/>
      </c>
      <c r="CN79" s="244" t="str">
        <f>IF(OR(F10="",CI76="",'CT Worksheet'!C28&gt;9),"",HLOOKUP(CI76,ChloramineTableG,CI82+2,FALSE))</f>
        <v/>
      </c>
      <c r="CO79" s="81"/>
      <c r="CP79" s="219" t="str">
        <f>IF(OR(CN79="",CM79=""),"",CN79-((CN79-CM79)*CJ76))</f>
        <v/>
      </c>
      <c r="CQ79" s="12"/>
      <c r="CR79" s="182" t="str">
        <f>IF(OR(CP79="",CP80=""),"",CP80-((CP80-CP79)*CJ81))</f>
        <v/>
      </c>
      <c r="CS79" s="222"/>
      <c r="CU79" s="28" t="s">
        <v>85</v>
      </c>
      <c r="CV79" s="12" t="str">
        <f>IF(CV78="","",IF(Temp2&gt;=25,4,IF(CV78&gt;=2,CV78-1,1)))</f>
        <v/>
      </c>
      <c r="CW79" s="12"/>
      <c r="CX79" s="6"/>
      <c r="CY79" s="6"/>
      <c r="CZ79" s="45" t="e">
        <f>CONCATENATE(VLOOKUP(CV78,MicrocystinTable,2,FALSE)," C")</f>
        <v>#N/A</v>
      </c>
      <c r="DA79" s="61" t="str">
        <f>IF(OR(F10="",CX85=""),"",HLOOKUP(CX85,MicrocystinTable,CV78+2,FALSE))</f>
        <v/>
      </c>
      <c r="DB79" s="61" t="str">
        <f>IF(OR(F10="",CW85=""),"",HLOOKUP(CW85,MicrocystinTable,CV78+2,FALSE))</f>
        <v/>
      </c>
      <c r="DC79" s="173" t="str">
        <f>IF(OR(F10="",CX86=""),"",HLOOKUP(CX86,MicrocystinTable,CV78+2,FALSE))</f>
        <v/>
      </c>
      <c r="DD79" s="145" t="str">
        <f>IF(OR(F10="",CW86=""),"",HLOOKUP(CW86,MicrocystinTable,CV78+2,FALSE))</f>
        <v/>
      </c>
      <c r="DE79" s="6"/>
      <c r="DF79" s="220" t="str">
        <f>IF(OR(DA79="",DC79=""),"",DC79-((DC79-DA79)*CW76))</f>
        <v/>
      </c>
      <c r="DG79" s="179" t="str">
        <f>IF(OR(DD79="",DD79=""),"",DD79-((DD79-DB79)*CW76))</f>
        <v/>
      </c>
      <c r="DH79" s="180" t="str">
        <f>IF(OR(DG79="",DF79=""),"",DG79-((DG79-DF79)*CW74))</f>
        <v/>
      </c>
      <c r="DI79" s="22"/>
      <c r="DJ79" s="181"/>
      <c r="DK79" s="241"/>
      <c r="DL79" s="440"/>
      <c r="DM79" s="241"/>
      <c r="DN79" s="241"/>
      <c r="DO79" s="7"/>
    </row>
    <row r="80" spans="1:119" ht="13.5" thickBot="1" x14ac:dyDescent="0.25">
      <c r="A80" s="28" t="s">
        <v>97</v>
      </c>
      <c r="B80" s="6" t="str">
        <f>IF(B82&lt;&gt;"",B82,IF(B83=15,14,B83))</f>
        <v/>
      </c>
      <c r="C80" s="44" t="str">
        <f>IF(C82="",C83,C82)</f>
        <v/>
      </c>
      <c r="D80" s="6"/>
      <c r="E80" s="6"/>
      <c r="F80" s="22"/>
      <c r="G80" s="6"/>
      <c r="H80" s="40"/>
      <c r="I80" s="6"/>
      <c r="J80" s="22"/>
      <c r="K80" s="22"/>
      <c r="L80" s="22"/>
      <c r="M80" s="22"/>
      <c r="N80" s="22"/>
      <c r="O80" s="22"/>
      <c r="P80" s="22"/>
      <c r="Q80" s="22"/>
      <c r="R80" s="22"/>
      <c r="S80" s="22"/>
      <c r="T80" s="22"/>
      <c r="U80" s="7"/>
      <c r="V80" s="28"/>
      <c r="W80" s="58">
        <v>1.2</v>
      </c>
      <c r="X80" s="75" t="str">
        <f>IF(E85="","",HLOOKUP(E85,CTtable,6,FALSE))</f>
        <v/>
      </c>
      <c r="Y80" s="22" t="str">
        <f>IF(D85="","",HLOOKUP(D85,CTtable,6,FALSE))</f>
        <v/>
      </c>
      <c r="Z80" s="75" t="str">
        <f>IF(E86="","",HLOOKUP(E86,CTtable,6,FALSE))</f>
        <v/>
      </c>
      <c r="AA80" s="73" t="str">
        <f>IF(D86="","",HLOOKUP(D86,CTtable,6,FALSE))</f>
        <v/>
      </c>
      <c r="AB80" s="75" t="str">
        <f>IF(E87="","",HLOOKUP(E87,CTtable,6,FALSE))</f>
        <v/>
      </c>
      <c r="AC80" s="22" t="str">
        <f>IF(D87="","",HLOOKUP(D87,CTtable,6,FALSE))</f>
        <v/>
      </c>
      <c r="AD80" s="75" t="str">
        <f>IF(E88="","",HLOOKUP(E88,CTtable,6,FALSE))</f>
        <v/>
      </c>
      <c r="AE80" s="73" t="str">
        <f>IF($D$88="","",HLOOKUP($D$88,CTtable,6,FALSE))</f>
        <v/>
      </c>
      <c r="AF80" s="6"/>
      <c r="AG80" s="78" t="str">
        <f t="shared" si="30"/>
        <v/>
      </c>
      <c r="AH80" s="79" t="str">
        <f t="shared" si="31"/>
        <v/>
      </c>
      <c r="AI80" s="78" t="str">
        <f t="shared" si="32"/>
        <v/>
      </c>
      <c r="AJ80" s="79" t="str">
        <f t="shared" si="33"/>
        <v/>
      </c>
      <c r="AK80" s="22"/>
      <c r="AL80" s="100" t="str">
        <f t="shared" si="34"/>
        <v/>
      </c>
      <c r="AM80" s="101" t="str">
        <f t="shared" si="35"/>
        <v/>
      </c>
      <c r="AN80" s="91" t="str">
        <f t="shared" si="36"/>
        <v/>
      </c>
      <c r="AO80" s="7"/>
      <c r="AQ80" s="28" t="s">
        <v>93</v>
      </c>
      <c r="AR80" s="12" t="str">
        <f>IF(Temp4="","",IF(Temp4&lt;=0,"",IF(Temp4&lt;=1,1,IF(Temp4&lt;=5,2,IF(Temp4&lt;=10,3,IF(Temp4&lt;=15,4,IF(Temp4&lt;=20,5,6)))))))</f>
        <v/>
      </c>
      <c r="AS80" s="190">
        <f>IF(AR81=6,0,IF(AR80=2,((5-Temp4)/4),IF(AR80=3,((10-Temp4)/5),IF(AR80=4,((15-Temp4)/5),IF(AR80=5,((20-Temp4)/5),IF(AR80=6,((25-Temp4)/5),0))))))</f>
        <v>0</v>
      </c>
      <c r="AT80" s="6"/>
      <c r="AU80" s="45" t="e">
        <f>CONCATENATE(VLOOKUP(AR80,VirusCTtable,2,FALSE)," C")</f>
        <v>#N/A</v>
      </c>
      <c r="AV80" s="61" t="str">
        <f>IF(OR(F10="",AT84=""),"",HLOOKUP(AT84,VirusCTtable,AR80+2,FALSE))</f>
        <v/>
      </c>
      <c r="AW80" s="61" t="str">
        <f>IF(OR(F10="",AS84=""),"",HLOOKUP(AS84,VirusCTtable,AR80+2,FALSE))</f>
        <v/>
      </c>
      <c r="AX80" s="173" t="str">
        <f>IF(OR(F10="",AT85=""),"",HLOOKUP(AT85,VirusCTtable,AR80+2,FALSE))</f>
        <v/>
      </c>
      <c r="AY80" s="174" t="str">
        <f>IF(OR(F10="",AS85=""),"",HLOOKUP(AS85,VirusCTtable,AR80+2,FALSE))</f>
        <v/>
      </c>
      <c r="AZ80" s="6"/>
      <c r="BA80" s="178" t="str">
        <f>IF(OR(AV80="",AX80=""),"",AX80-((AX80-AV80)*AS78))</f>
        <v/>
      </c>
      <c r="BB80" s="179" t="str">
        <f>IF(OR(AY80="",AY80=""),"",AY80-((AY80-AW80)*AS78))</f>
        <v/>
      </c>
      <c r="BC80" s="180" t="str">
        <f>IF(OR(BB80="",BA80=""),"",BB80-((BB80-BA80)*AS76))</f>
        <v/>
      </c>
      <c r="BD80" s="22"/>
      <c r="BE80" s="181"/>
      <c r="BF80" s="7"/>
      <c r="BH80" s="235"/>
      <c r="BI80" s="12"/>
      <c r="BJ80" s="190"/>
      <c r="BK80" s="12"/>
      <c r="BL80" s="243" t="e">
        <f>CONCATENATE(VLOOKUP(BI81,ClOgTable,2,FALSE)," C")</f>
        <v>#N/A</v>
      </c>
      <c r="BM80" s="244" t="str">
        <f>IF(OR(F10="",BI77=""),"",HLOOKUP(BI77,ClOgTable,BI81+2,FALSE))</f>
        <v/>
      </c>
      <c r="BN80" s="244" t="str">
        <f>IF(OR(F10="",BI76=""),"",HLOOKUP(BI76,ClOgTable,BI81+2,FALSE))</f>
        <v/>
      </c>
      <c r="BO80" s="81"/>
      <c r="BP80" s="220" t="str">
        <f>IF(OR(BN80="",BM80=""),"",BN80-((BN80-BM80)*BJ76))</f>
        <v/>
      </c>
      <c r="BQ80" s="12"/>
      <c r="BR80" s="181"/>
      <c r="BS80" s="222"/>
      <c r="BT80" s="234"/>
      <c r="BU80" s="235"/>
      <c r="BV80" s="12"/>
      <c r="BW80" s="190"/>
      <c r="BX80" s="12"/>
      <c r="BY80" s="243" t="e">
        <f>CONCATENATE(VLOOKUP(BV81,ClOgTable,2,FALSE)," C")</f>
        <v>#N/A</v>
      </c>
      <c r="BZ80" s="244" t="str">
        <f>IF(OR(F10="",BV77=""),"",HLOOKUP(BV77,O3gTable,BV81+2,FALSE))</f>
        <v/>
      </c>
      <c r="CA80" s="244" t="str">
        <f>IF(OR(F10="",BV76=""),"",HLOOKUP(BV76,O3gTable,BV81+2,FALSE))</f>
        <v/>
      </c>
      <c r="CB80" s="81"/>
      <c r="CC80" s="220" t="str">
        <f>IF(OR(CA80="",BZ80=""),"",CA80-((CA80-BZ80)*BW76))</f>
        <v/>
      </c>
      <c r="CD80" s="12"/>
      <c r="CE80" s="181"/>
      <c r="CF80" s="222"/>
      <c r="CG80" s="234"/>
      <c r="CH80" s="235"/>
      <c r="CI80" s="12"/>
      <c r="CJ80" s="190"/>
      <c r="CK80" s="12"/>
      <c r="CL80" s="243" t="e">
        <f>CONCATENATE(VLOOKUP(CI81,ChloramineTableG,2,FALSE)," C")</f>
        <v>#N/A</v>
      </c>
      <c r="CM80" s="244" t="str">
        <f>IF(OR(F10="",CI77="",'CT Worksheet'!C28&gt;9),"",HLOOKUP(CI77,ChloramineTableG,CI81+2,FALSE))</f>
        <v/>
      </c>
      <c r="CN80" s="244" t="str">
        <f>IF(OR(F10="",CI76="",'CT Worksheet'!C28&gt;9),"",HLOOKUP(CI76,ChloramineTableG,CI81+2,FALSE))</f>
        <v/>
      </c>
      <c r="CO80" s="81"/>
      <c r="CP80" s="220" t="str">
        <f>IF(OR(CN80="",CM80=""),"",CN80-((CN80-CM80)*CJ76))</f>
        <v/>
      </c>
      <c r="CQ80" s="12"/>
      <c r="CR80" s="181"/>
      <c r="CS80" s="222"/>
      <c r="CU80" s="235"/>
      <c r="CV80" s="12"/>
      <c r="CW80" s="190"/>
      <c r="CX80" s="6"/>
      <c r="CY80" s="6"/>
      <c r="CZ80" s="6"/>
      <c r="DA80" s="566" t="str">
        <f>IF(CV77="","",IF(CV77=1,CONCATENATE("pH ",6),IF(CV77=2,CONCATENATE("pH ",7),IF(CV77=3,CONCATENATE("pH ",8),CONCATENATE("pH ",9)))))</f>
        <v/>
      </c>
      <c r="DB80" s="567"/>
      <c r="DC80" s="568" t="str">
        <f>IF(CV76="","",IF(CV76=1,CONCATENATE("pH ",6),IF(CV76=2,CONCATENATE("pH ",7),IF(CV76=3,CONCATENATE("pH ",8),CONCATENATE("pH ",9)))))</f>
        <v/>
      </c>
      <c r="DD80" s="566"/>
      <c r="DE80" s="6"/>
      <c r="DF80" s="569" t="str">
        <f>CONCATENATE("pH ",'CT Worksheet'!C28)</f>
        <v xml:space="preserve">pH </v>
      </c>
      <c r="DG80" s="569"/>
      <c r="DH80" s="569"/>
      <c r="DI80" s="6"/>
      <c r="DJ80" s="6"/>
      <c r="DK80" s="241"/>
      <c r="DL80" s="440"/>
      <c r="DM80" s="241"/>
      <c r="DN80" s="241"/>
      <c r="DO80" s="7"/>
    </row>
    <row r="81" spans="1:119" ht="13.5" thickBot="1" x14ac:dyDescent="0.25">
      <c r="A81" s="28" t="s">
        <v>98</v>
      </c>
      <c r="B81" s="6" t="str">
        <f>IF(B80="","",IF(B83=15,14,IF(B80&gt;=2,B80-1,1)))</f>
        <v/>
      </c>
      <c r="C81" s="6"/>
      <c r="D81" s="6"/>
      <c r="E81" s="6"/>
      <c r="F81" s="22"/>
      <c r="G81" s="6"/>
      <c r="H81" s="6"/>
      <c r="I81" s="6"/>
      <c r="J81" s="608" t="str">
        <f>CONCATENATE("CT Table ",F87)</f>
        <v xml:space="preserve">CT Table </v>
      </c>
      <c r="K81" s="609"/>
      <c r="L81" s="614" t="str">
        <f>CONCATENATE("CT Table ",F88)</f>
        <v xml:space="preserve">CT Table </v>
      </c>
      <c r="M81" s="615"/>
      <c r="N81" s="22"/>
      <c r="O81" s="22"/>
      <c r="P81" s="22"/>
      <c r="Q81" s="22"/>
      <c r="R81" s="22"/>
      <c r="S81" s="22"/>
      <c r="T81" s="22"/>
      <c r="U81" s="7"/>
      <c r="V81" s="28"/>
      <c r="W81" s="58">
        <v>1.4</v>
      </c>
      <c r="X81" s="75" t="str">
        <f>IF(E85="","",HLOOKUP(E85,CTtable,7,FALSE))</f>
        <v/>
      </c>
      <c r="Y81" s="22" t="str">
        <f>IF(D85="","",HLOOKUP(D85,CTtable,7,FALSE))</f>
        <v/>
      </c>
      <c r="Z81" s="75" t="str">
        <f>IF(E86="","",HLOOKUP(E86,CTtable,7,FALSE))</f>
        <v/>
      </c>
      <c r="AA81" s="73" t="str">
        <f>IF(D86="","",HLOOKUP(D86,CTtable,7,FALSE))</f>
        <v/>
      </c>
      <c r="AB81" s="75" t="str">
        <f>IF(E87="","",HLOOKUP(E87,CTtable,7,FALSE))</f>
        <v/>
      </c>
      <c r="AC81" s="22" t="str">
        <f>IF(D87="","",HLOOKUP(D87,CTtable,7,FALSE))</f>
        <v/>
      </c>
      <c r="AD81" s="75" t="str">
        <f>IF(E88="","",HLOOKUP(E88,CTtable,7,FALSE))</f>
        <v/>
      </c>
      <c r="AE81" s="73" t="str">
        <f>IF($D$88="","",HLOOKUP($D$88,CTtable,7,FALSE))</f>
        <v/>
      </c>
      <c r="AF81" s="6"/>
      <c r="AG81" s="78" t="str">
        <f t="shared" si="30"/>
        <v/>
      </c>
      <c r="AH81" s="79" t="str">
        <f t="shared" si="31"/>
        <v/>
      </c>
      <c r="AI81" s="78" t="str">
        <f t="shared" si="32"/>
        <v/>
      </c>
      <c r="AJ81" s="79" t="str">
        <f t="shared" si="33"/>
        <v/>
      </c>
      <c r="AK81" s="22"/>
      <c r="AL81" s="100" t="str">
        <f t="shared" si="34"/>
        <v/>
      </c>
      <c r="AM81" s="101" t="str">
        <f t="shared" si="35"/>
        <v/>
      </c>
      <c r="AN81" s="91" t="str">
        <f t="shared" si="36"/>
        <v/>
      </c>
      <c r="AO81" s="7"/>
      <c r="AQ81" s="28" t="s">
        <v>94</v>
      </c>
      <c r="AR81" s="12" t="str">
        <f>IF(AR80="","",IF(Temp4&gt;=25,6,IF(AR80&gt;=2,AR80-1,1)))</f>
        <v/>
      </c>
      <c r="AS81" s="12"/>
      <c r="AT81" s="6"/>
      <c r="AU81" s="6"/>
      <c r="AV81" s="566" t="str">
        <f>IF(AR79=1,"pH 6-9",IF(AR79=2,"pH 10",""))</f>
        <v/>
      </c>
      <c r="AW81" s="567"/>
      <c r="AX81" s="568" t="str">
        <f>IF(AR78=1,"pH 6-9",IF(AR78=2,"pH 10",""))</f>
        <v/>
      </c>
      <c r="AY81" s="566"/>
      <c r="AZ81" s="6"/>
      <c r="BA81" s="569" t="str">
        <f>CONCATENATE("pH ",'CT Worksheet'!C28)</f>
        <v xml:space="preserve">pH </v>
      </c>
      <c r="BB81" s="569"/>
      <c r="BC81" s="569"/>
      <c r="BD81" s="6"/>
      <c r="BE81" s="6"/>
      <c r="BF81" s="7"/>
      <c r="BH81" s="235" t="s">
        <v>93</v>
      </c>
      <c r="BI81" s="12" t="str">
        <f>IF(Temp4="","",IF(Temp4&lt;=0,"",IF(Temp4&lt;=1,1,IF(Temp4&lt;=5,2,IF(Temp4&lt;=10,3,IF(Temp4&lt;=15,4,IF(Temp4&lt;=20,5,6)))))))</f>
        <v/>
      </c>
      <c r="BJ81" s="190">
        <f>IF(BI82=6,0,IF(BI81=2,((5-Temp4)/4),IF(BI81=3,((10-Temp4)/5),IF(BI81=4,((15-Temp4)/5),IF(BI81=5,((20-Temp4)/5),IF(BI81=6,((25-Temp4)/5),0))))))</f>
        <v>0</v>
      </c>
      <c r="BK81" s="12"/>
      <c r="BL81" s="12"/>
      <c r="BM81" s="245"/>
      <c r="BN81" s="245"/>
      <c r="BO81" s="240" t="str">
        <f>IF(BI80=1,"pH 6-9",IF(BI80=2,"pH 10",""))</f>
        <v/>
      </c>
      <c r="BP81" s="240"/>
      <c r="BQ81" s="12"/>
      <c r="BR81" s="246"/>
      <c r="BS81" s="247"/>
      <c r="BT81" s="246"/>
      <c r="BU81" s="235" t="s">
        <v>93</v>
      </c>
      <c r="BV81" s="12" t="str">
        <f>IF(Temp4="","",IF(Temp4&lt;=0,"",IF(Temp4&lt;=1,1,IF(Temp4&lt;=5,2,IF(Temp4&lt;=10,3,IF(Temp4&lt;=15,4,IF(Temp4&lt;=20,5,6)))))))</f>
        <v/>
      </c>
      <c r="BW81" s="190">
        <f>IF(BV82=6,0,IF(BV81=2,((5-Temp4)/4),IF(BV81=3,((10-Temp4)/5),IF(BV81=4,((15-Temp4)/5),IF(BV81=5,((20-Temp4)/5),IF(BV81=6,((25-Temp4)/5),0))))))</f>
        <v>0</v>
      </c>
      <c r="BX81" s="12"/>
      <c r="BY81" s="12"/>
      <c r="BZ81" s="245"/>
      <c r="CA81" s="245"/>
      <c r="CB81" s="240" t="str">
        <f>IF(BV80=1,"pH 6-9",IF(BV80=2,"pH 10",""))</f>
        <v/>
      </c>
      <c r="CC81" s="240"/>
      <c r="CD81" s="12"/>
      <c r="CE81" s="246"/>
      <c r="CF81" s="247"/>
      <c r="CG81" s="234"/>
      <c r="CH81" s="235" t="s">
        <v>93</v>
      </c>
      <c r="CI81" s="12" t="str">
        <f>IF(Temp4="","",IF(Temp4&lt;=0,"",IF(Temp4&lt;=1,1,IF(Temp4&lt;=5,2,IF(Temp4&lt;=10,3,IF(Temp4&lt;=15,4,IF(Temp4&lt;=20,5,6)))))))</f>
        <v/>
      </c>
      <c r="CJ81" s="190">
        <f>IF(CI82=6,0,IF(CI81=2,((5-Temp4)/4),IF(CI81=3,((10-Temp4)/5),IF(CI81=4,((15-Temp4)/5),IF(CI81=5,((20-Temp4)/5),IF(CI81=6,((25-Temp4)/5),0))))))</f>
        <v>0</v>
      </c>
      <c r="CK81" s="12"/>
      <c r="CL81" s="12"/>
      <c r="CM81" s="245"/>
      <c r="CN81" s="245"/>
      <c r="CO81" s="240" t="str">
        <f>IF(CI80=1,"pH 6-9",IF(CI80=2,"pH 10",""))</f>
        <v/>
      </c>
      <c r="CP81" s="240"/>
      <c r="CQ81" s="12"/>
      <c r="CR81" s="246"/>
      <c r="CS81" s="247"/>
      <c r="CU81" s="235"/>
      <c r="CV81" s="12"/>
      <c r="CW81" s="12"/>
      <c r="CX81" s="6"/>
      <c r="CY81" s="6"/>
      <c r="DA81" s="391"/>
      <c r="DB81" s="391"/>
      <c r="DC81" s="391"/>
      <c r="DD81" s="391"/>
      <c r="DK81" s="241"/>
      <c r="DL81" s="440"/>
      <c r="DM81" s="241"/>
      <c r="DN81" s="241"/>
      <c r="DO81" s="7"/>
    </row>
    <row r="82" spans="1:119" x14ac:dyDescent="0.2">
      <c r="A82" s="28" t="s">
        <v>99</v>
      </c>
      <c r="B82" s="6" t="str">
        <f>IF(DR_4="","",IF(DR_4&lt;=0.4,1,IF(DR_4&lt;=0.6,2,IF(DR_4&lt;=0.8,3,IF(DR_4&lt;=1,4,IF(DR_4&lt;=1.2,5,IF(DR_4&lt;=1.4,6,IF(DR_4&lt;=1.6,7,""))))))))</f>
        <v/>
      </c>
      <c r="C82" s="44" t="str">
        <f>IF(B82=1,0,IF(B82=2,((0.6-'CT Worksheet'!C27)/0.2),IF(B82=3,((0.8-'CT Worksheet'!C27)/0.2),IF(B82=4,((1-'CT Worksheet'!C27)/0.2),IF(B82=5,((1.2-'CT Worksheet'!C27)/0.2),IF(B82=6,((1.4-'CT Worksheet'!C27)/0.2),IF(B82=7,((1.6-'CT Worksheet'!C27)/0.2),"")))))))</f>
        <v/>
      </c>
      <c r="D82" s="6"/>
      <c r="E82" s="6"/>
      <c r="F82" s="22"/>
      <c r="G82" s="6"/>
      <c r="H82" s="40"/>
      <c r="I82" s="45" t="e">
        <f>I77</f>
        <v>#N/A</v>
      </c>
      <c r="J82" s="61" t="str">
        <f>IF(OR(F10="",E87=""),"",HLOOKUP(E87,CTtable,B81+1,FALSE))</f>
        <v/>
      </c>
      <c r="K82" s="42" t="str">
        <f>IF(OR(F10="",D87=""),"",HLOOKUP(D87,CTtable,B81+1,FALSE))</f>
        <v/>
      </c>
      <c r="L82" s="62" t="str">
        <f>IF(OR(F10="",E88=""),"",HLOOKUP(E88,CTtable,B81+1,FALSE))</f>
        <v/>
      </c>
      <c r="M82" s="72" t="str">
        <f>IF(OR(F10="",D88=""),"",HLOOKUP(D88,CTtable,B81+1,FALSE))</f>
        <v/>
      </c>
      <c r="N82" s="22"/>
      <c r="O82" s="63" t="str">
        <f>IF(OR(J82="",L82=""),"",L82-((L82-J82)*C76))</f>
        <v/>
      </c>
      <c r="P82" s="64" t="str">
        <f>IF(OR(M82="",M82=""),"",M82-((M82-K82)*C76))</f>
        <v/>
      </c>
      <c r="Q82" s="65" t="str">
        <f>IF(OR(P82="",O82=""),"",P82-((P82-O82)*C74))</f>
        <v/>
      </c>
      <c r="R82" s="22"/>
      <c r="S82" s="22"/>
      <c r="T82" s="22"/>
      <c r="U82" s="7"/>
      <c r="V82" s="28"/>
      <c r="W82" s="58">
        <v>1.6</v>
      </c>
      <c r="X82" s="75" t="str">
        <f>IF(E85="","",HLOOKUP(E85,CTtable,8,FALSE))</f>
        <v/>
      </c>
      <c r="Y82" s="22" t="str">
        <f>IF(D85="","",HLOOKUP(D85,CTtable,8,FALSE))</f>
        <v/>
      </c>
      <c r="Z82" s="75" t="str">
        <f>IF(E86="","",HLOOKUP(E86,CTtable,8,FALSE))</f>
        <v/>
      </c>
      <c r="AA82" s="73" t="str">
        <f>IF(D86="","",HLOOKUP(D86,CTtable,8,FALSE))</f>
        <v/>
      </c>
      <c r="AB82" s="75" t="str">
        <f>IF(E87="","",HLOOKUP(E87,CTtable,8,FALSE))</f>
        <v/>
      </c>
      <c r="AC82" s="22" t="str">
        <f>IF(D87="","",HLOOKUP(D87,CTtable,8,FALSE))</f>
        <v/>
      </c>
      <c r="AD82" s="75" t="str">
        <f>IF(E88="","",HLOOKUP(E88,CTtable,8,FALSE))</f>
        <v/>
      </c>
      <c r="AE82" s="73" t="str">
        <f>IF($D$88="","",HLOOKUP($D$88,CTtable,8,FALSE))</f>
        <v/>
      </c>
      <c r="AF82" s="6"/>
      <c r="AG82" s="78" t="str">
        <f t="shared" si="30"/>
        <v/>
      </c>
      <c r="AH82" s="79" t="str">
        <f t="shared" si="31"/>
        <v/>
      </c>
      <c r="AI82" s="78" t="str">
        <f t="shared" si="32"/>
        <v/>
      </c>
      <c r="AJ82" s="79" t="str">
        <f t="shared" si="33"/>
        <v/>
      </c>
      <c r="AK82" s="22"/>
      <c r="AL82" s="100" t="str">
        <f t="shared" si="34"/>
        <v/>
      </c>
      <c r="AM82" s="101" t="str">
        <f t="shared" si="35"/>
        <v/>
      </c>
      <c r="AN82" s="91" t="str">
        <f t="shared" si="36"/>
        <v/>
      </c>
      <c r="AO82" s="7"/>
      <c r="AQ82" s="28"/>
      <c r="AR82" s="6"/>
      <c r="AS82" s="6"/>
      <c r="AT82" s="6"/>
      <c r="BF82" s="7"/>
      <c r="BH82" s="235" t="s">
        <v>94</v>
      </c>
      <c r="BI82" s="12" t="str">
        <f>IF(BI81="","",IF(Temp4&gt;=25,6,IF(BI81&gt;=2,BI81-1,1)))</f>
        <v/>
      </c>
      <c r="BJ82" s="12"/>
      <c r="BK82" s="12"/>
      <c r="BL82" s="81"/>
      <c r="BM82" s="619" t="s">
        <v>443</v>
      </c>
      <c r="BN82" s="619"/>
      <c r="BO82" s="240"/>
      <c r="BP82" s="241" t="s">
        <v>497</v>
      </c>
      <c r="BQ82" s="241"/>
      <c r="BR82" s="81" t="s">
        <v>58</v>
      </c>
      <c r="BS82" s="236"/>
      <c r="BT82" s="234"/>
      <c r="BU82" s="235" t="s">
        <v>94</v>
      </c>
      <c r="BV82" s="12" t="str">
        <f>IF(BV81="","",IF(Temp4&gt;=25,6,IF(BV81&gt;=2,BV81-1,1)))</f>
        <v/>
      </c>
      <c r="BW82" s="12"/>
      <c r="BX82" s="12"/>
      <c r="BY82" s="12"/>
      <c r="BZ82" s="619" t="s">
        <v>443</v>
      </c>
      <c r="CA82" s="619"/>
      <c r="CB82" s="240"/>
      <c r="CC82" s="241" t="s">
        <v>497</v>
      </c>
      <c r="CD82" s="241"/>
      <c r="CE82" s="81" t="s">
        <v>58</v>
      </c>
      <c r="CF82" s="236"/>
      <c r="CG82" s="234"/>
      <c r="CH82" s="235" t="s">
        <v>94</v>
      </c>
      <c r="CI82" s="12" t="str">
        <f>IF(CI81="","",IF(Temp4&gt;=25,6,IF(CI81&gt;=2,CI81-1,1)))</f>
        <v/>
      </c>
      <c r="CJ82" s="12"/>
      <c r="CK82" s="12"/>
      <c r="CL82" s="12"/>
      <c r="CM82" s="12"/>
      <c r="CN82" s="12"/>
      <c r="CO82" s="12"/>
      <c r="CP82" s="12"/>
      <c r="CQ82" s="12"/>
      <c r="CR82" s="12"/>
      <c r="CS82" s="236"/>
      <c r="CU82" s="235"/>
      <c r="CV82" s="12"/>
      <c r="CW82" s="190"/>
      <c r="CX82" s="6"/>
      <c r="CY82" s="6"/>
      <c r="CZ82" s="22"/>
      <c r="DA82" s="6"/>
      <c r="DB82" s="36"/>
      <c r="DC82" s="243"/>
      <c r="DD82" s="241"/>
      <c r="DE82" s="241"/>
      <c r="DF82" s="241"/>
      <c r="DG82" s="241"/>
      <c r="DH82" s="241"/>
      <c r="DI82" s="241"/>
      <c r="DJ82" s="241"/>
      <c r="DK82" s="241"/>
      <c r="DL82" s="440"/>
      <c r="DM82" s="241"/>
      <c r="DN82" s="241"/>
      <c r="DO82" s="7"/>
    </row>
    <row r="83" spans="1:119" ht="13.5" thickBot="1" x14ac:dyDescent="0.25">
      <c r="A83" s="28" t="s">
        <v>100</v>
      </c>
      <c r="B83" s="6" t="str">
        <f>IF(OR(B82&lt;&gt;"",DR_4=""),"",IF(DR_4&lt;=1.8,8,IF(DR_4&lt;=2,9,IF(DR_4&lt;=2.2,10,IF(DR_4&lt;=2.4,11,IF(DR_4&lt;=2.6,12,IF(DR_4&lt;=2.8,13,IF('CT Worksheet'!C27&lt;=3,14,15))))))))</f>
        <v/>
      </c>
      <c r="C83" s="44" t="str">
        <f>IF(B83=8,((1.8-'CT Worksheet'!C27)/0.2),IF(B83=9,((2-'CT Worksheet'!C27)/0.2),IF(B83=10,((2.2-'CT Worksheet'!C27)/0.2),IF(B83=11,((2.4-'CT Worksheet'!C27)/0.2),IF(B83=12,((2.6-'CT Worksheet'!C27)/0.2),IF(B83=13,((2.8-'CT Worksheet'!C27)/0.2),IF(B83=14,((3-'CT Worksheet'!C27)/0.2),IF(B83=15,0,""))))))))</f>
        <v/>
      </c>
      <c r="D83" s="6"/>
      <c r="E83" s="46"/>
      <c r="F83" s="130"/>
      <c r="G83" s="6"/>
      <c r="H83" s="40"/>
      <c r="I83" s="45" t="e">
        <f>I78</f>
        <v>#N/A</v>
      </c>
      <c r="J83" s="67" t="str">
        <f>IF(OR(F10="",E87=""),"",HLOOKUP(E87,CTtable,IF(B80=15,B80,B80+1),FALSE))</f>
        <v/>
      </c>
      <c r="K83" s="59" t="str">
        <f>IF(OR(F10="",D87=""),"",HLOOKUP(D87,CTtable,IF(B80=15,B80,B80+1),FALSE))</f>
        <v/>
      </c>
      <c r="L83" s="60" t="str">
        <f>IF(OR(F10="",E88=""),"",HLOOKUP(E88,CTtable,IF(B80=15,B80,B80+1),FALSE))</f>
        <v/>
      </c>
      <c r="M83" s="73" t="str">
        <f>IF(OR(F10="",D88=""),"",HLOOKUP(D88,CTtable,IF(B80=15,B80,B80+1),FALSE))</f>
        <v/>
      </c>
      <c r="N83" s="22"/>
      <c r="O83" s="69" t="str">
        <f>IF(OR(J83="",L83=""),"",L83-((L83-J83)*C76))</f>
        <v/>
      </c>
      <c r="P83" s="70" t="str">
        <f>IF(OR(M83="",M83=""),"",M83-((M83-K83)*C76))</f>
        <v/>
      </c>
      <c r="Q83" s="71" t="str">
        <f>IF(OR(P83="",O83=""),"",P83-((P83-O83)*C74))</f>
        <v/>
      </c>
      <c r="R83" s="22"/>
      <c r="S83" s="22"/>
      <c r="T83" s="22"/>
      <c r="U83" s="7"/>
      <c r="V83" s="28"/>
      <c r="W83" s="58">
        <v>1.8</v>
      </c>
      <c r="X83" s="75" t="str">
        <f>IF(E85="","",HLOOKUP(E85,CTtable,9,FALSE))</f>
        <v/>
      </c>
      <c r="Y83" s="22" t="str">
        <f>IF(D85="","",HLOOKUP(D85,CTtable,9,FALSE))</f>
        <v/>
      </c>
      <c r="Z83" s="75" t="str">
        <f>IF(E86="","",HLOOKUP(E86,CTtable,9,FALSE))</f>
        <v/>
      </c>
      <c r="AA83" s="73" t="str">
        <f>IF(D86="","",HLOOKUP(D86,CTtable,9,FALSE))</f>
        <v/>
      </c>
      <c r="AB83" s="75" t="str">
        <f>IF(E87="","",HLOOKUP(E87,CTtable,9,FALSE))</f>
        <v/>
      </c>
      <c r="AC83" s="22" t="str">
        <f>IF(D87="","",HLOOKUP(D87,CTtable,9,FALSE))</f>
        <v/>
      </c>
      <c r="AD83" s="75" t="str">
        <f>IF(E88="","",HLOOKUP(E88,CTtable,9,FALSE))</f>
        <v/>
      </c>
      <c r="AE83" s="73" t="str">
        <f>IF($D$88="","",HLOOKUP($D$88,CTtable,9,FALSE))</f>
        <v/>
      </c>
      <c r="AF83" s="6"/>
      <c r="AG83" s="78" t="str">
        <f t="shared" si="30"/>
        <v/>
      </c>
      <c r="AH83" s="79" t="str">
        <f t="shared" si="31"/>
        <v/>
      </c>
      <c r="AI83" s="78" t="str">
        <f t="shared" si="32"/>
        <v/>
      </c>
      <c r="AJ83" s="79" t="str">
        <f t="shared" si="33"/>
        <v/>
      </c>
      <c r="AK83" s="22"/>
      <c r="AL83" s="100" t="str">
        <f t="shared" si="34"/>
        <v/>
      </c>
      <c r="AM83" s="101" t="str">
        <f t="shared" si="35"/>
        <v/>
      </c>
      <c r="AN83" s="91" t="str">
        <f t="shared" si="36"/>
        <v/>
      </c>
      <c r="AO83" s="7"/>
      <c r="AQ83" s="28"/>
      <c r="AR83" s="6"/>
      <c r="AS83" s="6"/>
      <c r="AT83" s="6"/>
      <c r="AU83" s="6"/>
      <c r="AV83" s="6"/>
      <c r="AW83" s="6"/>
      <c r="AX83" s="6"/>
      <c r="AY83" s="6"/>
      <c r="AZ83" s="6"/>
      <c r="BA83" s="6"/>
      <c r="BB83" s="6"/>
      <c r="BC83" s="6"/>
      <c r="BD83" s="6"/>
      <c r="BE83" s="6"/>
      <c r="BF83" s="7"/>
      <c r="BH83" s="235"/>
      <c r="BI83" s="12"/>
      <c r="BJ83" s="190"/>
      <c r="BK83" s="12"/>
      <c r="BL83" s="81"/>
      <c r="BM83" s="81" t="e">
        <f>HLOOKUP(BI79,ClOvTable,2,FALSE)</f>
        <v>#N/A</v>
      </c>
      <c r="BN83" s="81" t="e">
        <f>HLOOKUP(BI78,ClOvTable,2,FALSE)</f>
        <v>#N/A</v>
      </c>
      <c r="BO83" s="81"/>
      <c r="BP83" s="24" t="str">
        <f>CONCATENATE(logVirusR,"-log")</f>
        <v>-log</v>
      </c>
      <c r="BQ83" s="12"/>
      <c r="BR83" s="211" t="str">
        <f>CONCATENATE('CT Worksheet'!C26,'CT Worksheet'!D26)</f>
        <v/>
      </c>
      <c r="BS83" s="238"/>
      <c r="BT83" s="12"/>
      <c r="BU83" s="235"/>
      <c r="BV83" s="12"/>
      <c r="BW83" s="12"/>
      <c r="BX83" s="12"/>
      <c r="BY83" s="12"/>
      <c r="BZ83" s="81" t="e">
        <f>HLOOKUP(BV79,O3vTable,2,FALSE)</f>
        <v>#N/A</v>
      </c>
      <c r="CA83" s="81" t="e">
        <f>HLOOKUP(BV78,O3vTable,2,FALSE)</f>
        <v>#N/A</v>
      </c>
      <c r="CB83" s="81"/>
      <c r="CC83" s="24" t="str">
        <f>CONCATENATE(logVirusR,"-log")</f>
        <v>-log</v>
      </c>
      <c r="CD83" s="12"/>
      <c r="CE83" s="211" t="str">
        <f>CONCATENATE('CT Worksheet'!C26,'CT Worksheet'!D26)</f>
        <v/>
      </c>
      <c r="CF83" s="238"/>
      <c r="CG83" s="234"/>
      <c r="CH83" s="235"/>
      <c r="CI83" s="12"/>
      <c r="CJ83" s="12"/>
      <c r="CK83" s="12"/>
      <c r="CL83" s="12"/>
      <c r="CM83" s="12"/>
      <c r="CN83" s="12"/>
      <c r="CO83" s="12"/>
      <c r="CP83" s="622" t="s">
        <v>498</v>
      </c>
      <c r="CQ83" s="622"/>
      <c r="CR83" s="622"/>
      <c r="CS83" s="238"/>
      <c r="CU83" s="235"/>
      <c r="CV83" s="12"/>
      <c r="CW83" s="190"/>
      <c r="CX83" s="6"/>
      <c r="CY83" s="46"/>
      <c r="CZ83" s="130"/>
      <c r="DA83" s="6"/>
      <c r="DB83" s="36"/>
      <c r="DC83" s="243"/>
      <c r="DD83" s="241"/>
      <c r="DE83" s="241"/>
      <c r="DF83" s="241"/>
      <c r="DG83" s="241"/>
      <c r="DH83" s="241"/>
      <c r="DI83" s="241"/>
      <c r="DJ83" s="241"/>
      <c r="DK83" s="241"/>
      <c r="DL83" s="440"/>
      <c r="DM83" s="241"/>
      <c r="DN83" s="241"/>
      <c r="DO83" s="7"/>
    </row>
    <row r="84" spans="1:119" ht="13.5" thickBot="1" x14ac:dyDescent="0.25">
      <c r="A84" s="28"/>
      <c r="B84" s="6"/>
      <c r="C84" s="6"/>
      <c r="D84" s="6"/>
      <c r="E84" s="6"/>
      <c r="F84" s="22" t="s">
        <v>430</v>
      </c>
      <c r="G84" s="6"/>
      <c r="H84" s="6"/>
      <c r="I84" s="6"/>
      <c r="J84" s="566" t="e">
        <f>CONCATENATE("pH ",HLOOKUP(D87,CTtable,17,FALSE),", ",HLOOKUP(D87,CTtable,18,FALSE),"C")</f>
        <v>#N/A</v>
      </c>
      <c r="K84" s="567"/>
      <c r="L84" s="568" t="e">
        <f>CONCATENATE("pH ",HLOOKUP(D88,CTtable,17,FALSE),", ",HLOOKUP(D88,CTtable,18,FALSE),"C")</f>
        <v>#N/A</v>
      </c>
      <c r="M84" s="566"/>
      <c r="N84" s="6"/>
      <c r="O84" s="613" t="e">
        <f>CONCATENATE("pH ",'CT Worksheet'!C28,", ",HLOOKUP(D87,CTtable,18,FALSE),"C")</f>
        <v>#N/A</v>
      </c>
      <c r="P84" s="613"/>
      <c r="Q84" s="613"/>
      <c r="R84" s="6"/>
      <c r="S84" s="6"/>
      <c r="T84" s="6"/>
      <c r="U84" s="7"/>
      <c r="V84" s="28"/>
      <c r="W84" s="58">
        <v>2</v>
      </c>
      <c r="X84" s="75" t="str">
        <f>IF(E85="","",HLOOKUP(E85,CTtable,10,FALSE))</f>
        <v/>
      </c>
      <c r="Y84" s="22" t="str">
        <f>IF(D85="","",HLOOKUP(D85,CTtable,10,FALSE))</f>
        <v/>
      </c>
      <c r="Z84" s="75" t="str">
        <f>IF(E86="","",HLOOKUP(E86,CTtable,10,FALSE))</f>
        <v/>
      </c>
      <c r="AA84" s="73" t="str">
        <f>IF(D86="","",HLOOKUP(D86,CTtable,10,FALSE))</f>
        <v/>
      </c>
      <c r="AB84" s="75" t="str">
        <f>IF(E87="","",HLOOKUP(E87,CTtable,10,FALSE))</f>
        <v/>
      </c>
      <c r="AC84" s="22" t="str">
        <f>IF(D87="","",HLOOKUP(D87,CTtable,10,FALSE))</f>
        <v/>
      </c>
      <c r="AD84" s="75" t="str">
        <f>IF(E88="","",HLOOKUP(E88,CTtable,10,FALSE))</f>
        <v/>
      </c>
      <c r="AE84" s="73" t="str">
        <f>IF($D$88="","",HLOOKUP($D$88,CTtable,10,FALSE))</f>
        <v/>
      </c>
      <c r="AF84" s="6"/>
      <c r="AG84" s="78" t="str">
        <f t="shared" si="30"/>
        <v/>
      </c>
      <c r="AH84" s="79" t="str">
        <f t="shared" si="31"/>
        <v/>
      </c>
      <c r="AI84" s="78" t="str">
        <f t="shared" si="32"/>
        <v/>
      </c>
      <c r="AJ84" s="79" t="str">
        <f t="shared" si="33"/>
        <v/>
      </c>
      <c r="AK84" s="22"/>
      <c r="AL84" s="100" t="str">
        <f t="shared" si="34"/>
        <v/>
      </c>
      <c r="AM84" s="101" t="str">
        <f t="shared" si="35"/>
        <v/>
      </c>
      <c r="AN84" s="91" t="str">
        <f t="shared" si="36"/>
        <v/>
      </c>
      <c r="AO84" s="7"/>
      <c r="AQ84" s="183" t="s">
        <v>464</v>
      </c>
      <c r="AR84" s="35"/>
      <c r="AS84" s="42" t="str">
        <f>IF(OR(AR76="",AR79="",AR78=3),"",CONCATENATE(AR79,"-",AR76))</f>
        <v/>
      </c>
      <c r="AT84" s="72" t="str">
        <f>IF(OR(AR77="",AR79="",AR78=3),"",IF(AR77=0,0,CONCATENATE(AR79,"-",AR77)))</f>
        <v/>
      </c>
      <c r="AU84" s="6"/>
      <c r="AV84" s="6"/>
      <c r="AW84" s="6"/>
      <c r="AX84" s="6"/>
      <c r="AY84" s="6"/>
      <c r="AZ84" s="6"/>
      <c r="BA84" s="6"/>
      <c r="BB84" s="6"/>
      <c r="BC84" s="6"/>
      <c r="BD84" s="6"/>
      <c r="BE84" s="6"/>
      <c r="BF84" s="7"/>
      <c r="BH84" s="327" t="s">
        <v>608</v>
      </c>
      <c r="BI84" s="343" t="str">
        <f>IF(OR(logCryptoR="",'CT Worksheet'!B27&lt;&gt;"Chlorine Dioxide"),"",IF((logCryptoR&lt;=0.25),1,IF((logCryptoR&lt;=0.5),2,IF((logCryptoR&lt;=1),3,IF((logCryptoR&lt;=1.5),4,IF((logCryptoR&lt;=2),5,IF((logCryptoR&lt;=2.5),6,7)))))))</f>
        <v/>
      </c>
      <c r="BJ84" s="344">
        <f>IF((BI84=2),((0.5-logCryptoR)/0.25),IF((BI84=3),((1-logCryptoR)/0.5),IF((BI84=4),((1.5-logCryptoR)/0.5),IF((BI84=5),((2-logCryptoR)/0.5),IF((BI84=6),((2.5-logCryptoR)/0.5),IF((BI84=7),((3-logCryptoR)/0.5),IF((BI85=0),((0.25-logCryptoR)/0.25),0)))))))</f>
        <v>0</v>
      </c>
      <c r="BK84" s="12"/>
      <c r="BL84" s="210" t="e">
        <f>CONCATENATE(VLOOKUP(BI82,ClOvTable,2,FALSE)," C")</f>
        <v>#N/A</v>
      </c>
      <c r="BM84" s="244" t="str">
        <f>IF(OR(F10="",BI79="",'CT Worksheet'!C28&gt;9),"",HLOOKUP(BI79,ClOvTable,BI82+2,FALSE))</f>
        <v/>
      </c>
      <c r="BN84" s="244" t="str">
        <f>IF(OR(F10="",BI78="",'CT Worksheet'!C28&gt;9),"",HLOOKUP(BI78,ClOvTable,BI82+2,FALSE))</f>
        <v/>
      </c>
      <c r="BO84" s="81"/>
      <c r="BP84" s="219" t="str">
        <f>IF(OR(BN84="",BM84=""),"",BN84-((BN84-BM84)*BJ78))</f>
        <v/>
      </c>
      <c r="BQ84" s="12"/>
      <c r="BR84" s="182" t="str">
        <f>IF(OR(BP84="",BP85=""),"",BP85-((BP85-BP84)*BJ81))</f>
        <v/>
      </c>
      <c r="BS84" s="236"/>
      <c r="BT84" s="12"/>
      <c r="BU84" s="327" t="s">
        <v>619</v>
      </c>
      <c r="BV84" s="343" t="str">
        <f>IF(OR(logCryptoR="",'CT Worksheet'!B27&lt;&gt;"Ozone"),"",IF((logCryptoR&lt;=0.25),1,IF((logCryptoR&lt;=0.5),2,IF((logCryptoR&lt;=1),3,IF((logCryptoR&lt;=1.5),4,IF((logCryptoR&lt;=2),5,IF((logCryptoR&lt;=2.5),6,7)))))))</f>
        <v/>
      </c>
      <c r="BW84" s="344">
        <f>IF((BV84=2),((0.5-logCryptoR)/0.25),IF((BV84=3),((1-logCryptoR)/0.5),IF((BV84=4),((1.5-logCryptoR)/0.5),IF((BV84=5),((2-logCryptoR)/0.5),IF((BV84=6),((2.5-logCryptoR)/0.5),IF((BV84=7),((3-logCryptoR)/0.5),IF((BV85=0),((0.25-logCryptoR)/0.25),0)))))))</f>
        <v>0</v>
      </c>
      <c r="BX84" s="12"/>
      <c r="BY84" s="243" t="e">
        <f>CONCATENATE(VLOOKUP(BV82,O3gTable,2,FALSE)," C")</f>
        <v>#N/A</v>
      </c>
      <c r="BZ84" s="244" t="str">
        <f>IF(OR(F10="",BV79=""),"",HLOOKUP(BV79,O3vTable,BV82+2,FALSE))</f>
        <v/>
      </c>
      <c r="CA84" s="244" t="str">
        <f>IF(OR(F10="",BV78=""),"",HLOOKUP(BV78,O3vTable,BV82+2,FALSE))</f>
        <v/>
      </c>
      <c r="CB84" s="81"/>
      <c r="CC84" s="219" t="str">
        <f>IF(OR(CA84="",BZ84=""),"",CA84-((CA84-BZ84)*BW78))</f>
        <v/>
      </c>
      <c r="CD84" s="12"/>
      <c r="CE84" s="182" t="str">
        <f>IF(OR(CC84="",CC85=""),"",CC85-((CC85-CC84)*BW81))</f>
        <v/>
      </c>
      <c r="CF84" s="236"/>
      <c r="CG84" s="234"/>
      <c r="CH84" s="235"/>
      <c r="CI84" s="12"/>
      <c r="CJ84" s="12"/>
      <c r="CK84" s="12"/>
      <c r="CL84" s="12"/>
      <c r="CM84" s="619" t="s">
        <v>443</v>
      </c>
      <c r="CN84" s="619"/>
      <c r="CO84" s="240"/>
      <c r="CP84" s="241" t="s">
        <v>497</v>
      </c>
      <c r="CQ84" s="241"/>
      <c r="CR84" s="81" t="s">
        <v>58</v>
      </c>
      <c r="CS84" s="236"/>
      <c r="CU84" s="28"/>
      <c r="CV84" s="6"/>
      <c r="CW84" s="6"/>
      <c r="CX84" s="6"/>
      <c r="CY84" s="12"/>
      <c r="CZ84" s="81"/>
      <c r="DA84" s="6"/>
      <c r="DB84" s="12"/>
      <c r="DC84" s="12"/>
      <c r="DD84" s="241"/>
      <c r="DE84" s="241"/>
      <c r="DF84" s="241"/>
      <c r="DG84" s="241"/>
      <c r="DH84" s="241"/>
      <c r="DI84" s="241"/>
      <c r="DJ84" s="241"/>
      <c r="DK84" s="241"/>
      <c r="DL84" s="440"/>
      <c r="DM84" s="241"/>
      <c r="DN84" s="241"/>
      <c r="DO84" s="7"/>
    </row>
    <row r="85" spans="1:119" ht="13.5" thickBot="1" x14ac:dyDescent="0.25">
      <c r="A85" s="31" t="s">
        <v>51</v>
      </c>
      <c r="B85" s="35"/>
      <c r="C85" s="35"/>
      <c r="D85" s="42" t="str">
        <f>IF(OR(B74="",B76="",B78="",B76=8),"",CONCATENATE(B79,"-",B77,"-",B74))</f>
        <v/>
      </c>
      <c r="E85" s="117" t="str">
        <f>IF((D85=""),"",IF(B75=0,0,CONCATENATE(B79,"-",B77,"-",B75)))</f>
        <v/>
      </c>
      <c r="F85" s="72" t="str">
        <f>IF(D85="","",HLOOKUP(D85,CTtable,19,FALSE))</f>
        <v/>
      </c>
      <c r="G85" s="6"/>
      <c r="H85" s="6"/>
      <c r="I85" s="6"/>
      <c r="J85" s="6"/>
      <c r="K85" s="6"/>
      <c r="L85" s="6"/>
      <c r="M85" s="6"/>
      <c r="N85" s="6"/>
      <c r="O85" s="6"/>
      <c r="P85" s="6"/>
      <c r="Q85" s="6"/>
      <c r="R85" s="6"/>
      <c r="S85" s="6"/>
      <c r="T85" s="6"/>
      <c r="U85" s="7"/>
      <c r="V85" s="28"/>
      <c r="W85" s="58">
        <v>2.2000000000000002</v>
      </c>
      <c r="X85" s="75" t="str">
        <f>IF(E85="","",HLOOKUP(E85,CTtable,11,FALSE))</f>
        <v/>
      </c>
      <c r="Y85" s="22" t="str">
        <f>IF(D85="","",HLOOKUP(D85,CTtable,11,FALSE))</f>
        <v/>
      </c>
      <c r="Z85" s="75" t="str">
        <f>IF(E86="","",HLOOKUP(E86,CTtable,11,FALSE))</f>
        <v/>
      </c>
      <c r="AA85" s="73" t="str">
        <f>IF(D86="","",HLOOKUP(D86,CTtable,11,FALSE))</f>
        <v/>
      </c>
      <c r="AB85" s="75" t="str">
        <f>IF(E87="","",HLOOKUP(E87,CTtable,11,FALSE))</f>
        <v/>
      </c>
      <c r="AC85" s="22" t="str">
        <f>IF(D87="","",HLOOKUP(D87,CTtable,11,FALSE))</f>
        <v/>
      </c>
      <c r="AD85" s="75" t="str">
        <f>IF(E88="","",HLOOKUP(E88,CTtable,11,FALSE))</f>
        <v/>
      </c>
      <c r="AE85" s="73" t="str">
        <f>IF($D$88="","",HLOOKUP($D$88,CTtable,11,FALSE))</f>
        <v/>
      </c>
      <c r="AF85" s="6"/>
      <c r="AG85" s="78" t="str">
        <f t="shared" si="30"/>
        <v/>
      </c>
      <c r="AH85" s="79" t="str">
        <f t="shared" si="31"/>
        <v/>
      </c>
      <c r="AI85" s="78" t="str">
        <f t="shared" si="32"/>
        <v/>
      </c>
      <c r="AJ85" s="79" t="str">
        <f t="shared" si="33"/>
        <v/>
      </c>
      <c r="AK85" s="22"/>
      <c r="AL85" s="100" t="str">
        <f t="shared" si="34"/>
        <v/>
      </c>
      <c r="AM85" s="101" t="str">
        <f t="shared" si="35"/>
        <v/>
      </c>
      <c r="AN85" s="91" t="str">
        <f t="shared" si="36"/>
        <v/>
      </c>
      <c r="AO85" s="7"/>
      <c r="AQ85" s="184" t="s">
        <v>465</v>
      </c>
      <c r="AR85" s="23"/>
      <c r="AS85" s="59" t="str">
        <f>IF(OR(AR76="",AR79="",AR78=3),"",CONCATENATE(AR78,"-",AR76))</f>
        <v/>
      </c>
      <c r="AT85" s="74" t="str">
        <f>IF(OR(AR78="",AR77="",AR78=3),"",IF(AR77=0,0,CONCATENATE(AR78,"-",AR77)))</f>
        <v/>
      </c>
      <c r="AU85" s="6"/>
      <c r="AV85" s="6"/>
      <c r="AW85" s="6"/>
      <c r="AX85" s="6"/>
      <c r="AY85" s="6"/>
      <c r="AZ85" s="6"/>
      <c r="BA85" s="6"/>
      <c r="BB85" s="6"/>
      <c r="BC85" s="6"/>
      <c r="BD85" s="6"/>
      <c r="BE85" s="6"/>
      <c r="BF85" s="7"/>
      <c r="BH85" s="327" t="s">
        <v>609</v>
      </c>
      <c r="BI85" s="343" t="str">
        <f>IF((BI84=""),"",IF((BI84&gt;=2),(BI84-1),IF((logCryptoR&lt;0.25),0,1)))</f>
        <v/>
      </c>
      <c r="BJ85" s="335"/>
      <c r="BK85" s="12"/>
      <c r="BL85" s="210" t="e">
        <f>CONCATENATE(VLOOKUP(BI81,ClOvTable,2,FALSE)," C")</f>
        <v>#N/A</v>
      </c>
      <c r="BM85" s="244" t="str">
        <f>IF(OR(F10="",BI79="",'CT Worksheet'!C28&gt;9),"",HLOOKUP(BI79,ClOvTable,BI81+2,FALSE))</f>
        <v/>
      </c>
      <c r="BN85" s="244" t="str">
        <f>IF(OR(F10="",BI78="",'CT Worksheet'!C28&gt;9),"",HLOOKUP(BI78,ClOvTable,BI81+2,FALSE))</f>
        <v/>
      </c>
      <c r="BO85" s="81"/>
      <c r="BP85" s="220" t="str">
        <f>IF(OR(BN85="",BM85=""),"",BN85-((BN85-BM85)*BJ78))</f>
        <v/>
      </c>
      <c r="BQ85" s="12"/>
      <c r="BR85" s="181"/>
      <c r="BS85" s="242"/>
      <c r="BT85" s="12"/>
      <c r="BU85" s="327" t="s">
        <v>620</v>
      </c>
      <c r="BV85" s="343" t="str">
        <f>IF((BV84=""),"",IF((BV84&gt;=2),(BV84-1),IF((logCryptoR&lt;0.25),0,1)))</f>
        <v/>
      </c>
      <c r="BW85" s="335"/>
      <c r="BX85" s="12"/>
      <c r="BY85" s="243" t="e">
        <f>CONCATENATE(VLOOKUP(BV81,O3gTable,2,FALSE)," C")</f>
        <v>#N/A</v>
      </c>
      <c r="BZ85" s="244" t="str">
        <f>IF(OR(F10="",BV79=""),"",HLOOKUP(BV79,O3vTable,BV81+2,FALSE))</f>
        <v/>
      </c>
      <c r="CA85" s="244" t="str">
        <f>IF(OR(F10="",BV78=""),"",HLOOKUP(BV78,O3vTable,BV81+2,FALSE))</f>
        <v/>
      </c>
      <c r="CB85" s="81"/>
      <c r="CC85" s="220" t="str">
        <f>IF(OR(CA85="",BZ85=""),"",CA85-((CA85-BZ85)*BW78))</f>
        <v/>
      </c>
      <c r="CD85" s="12"/>
      <c r="CE85" s="181"/>
      <c r="CF85" s="242"/>
      <c r="CG85" s="234"/>
      <c r="CH85" s="235"/>
      <c r="CI85" s="12"/>
      <c r="CJ85" s="12"/>
      <c r="CK85" s="12"/>
      <c r="CL85" s="12"/>
      <c r="CM85" s="81" t="e">
        <f>HLOOKUP(CI79,ChloramineTableV,2,FALSE)</f>
        <v>#N/A</v>
      </c>
      <c r="CN85" s="81" t="e">
        <f>HLOOKUP(CI78,ChloramineTableV,2,FALSE)</f>
        <v>#N/A</v>
      </c>
      <c r="CO85" s="81"/>
      <c r="CP85" s="211" t="str">
        <f>CONCATENATE(logGiardiaR,"-log")</f>
        <v>-log</v>
      </c>
      <c r="CQ85" s="12"/>
      <c r="CR85" s="211" t="str">
        <f>CONCATENATE('CT Worksheet'!C11,'CT Worksheet'!D11)</f>
        <v/>
      </c>
      <c r="CS85" s="242"/>
      <c r="CU85" s="183" t="s">
        <v>464</v>
      </c>
      <c r="CV85" s="35"/>
      <c r="CW85" s="117" t="str">
        <f>IF(OR(CV74="",CV77="",CV77=0),"",CONCATENATE(CV77,"-",CV74))</f>
        <v/>
      </c>
      <c r="CX85" s="118" t="str">
        <f>IF(OR(CV75="",CV77="",CV77=0),"",CONCATENATE(CV77,"-",CV75))</f>
        <v/>
      </c>
      <c r="CY85" s="81"/>
      <c r="CZ85" s="81"/>
      <c r="DA85" s="6"/>
      <c r="DB85" s="12"/>
      <c r="DC85" s="12"/>
      <c r="DD85" s="241"/>
      <c r="DE85" s="241"/>
      <c r="DF85" s="241"/>
      <c r="DG85" s="241"/>
      <c r="DH85" s="241"/>
      <c r="DI85" s="241"/>
      <c r="DJ85" s="241"/>
      <c r="DK85" s="241"/>
      <c r="DL85" s="440"/>
      <c r="DM85" s="241"/>
      <c r="DN85" s="241"/>
      <c r="DO85" s="7"/>
    </row>
    <row r="86" spans="1:119" ht="13.5" thickBot="1" x14ac:dyDescent="0.25">
      <c r="A86" s="1" t="s">
        <v>52</v>
      </c>
      <c r="B86" s="6"/>
      <c r="C86" s="6"/>
      <c r="D86" s="22" t="str">
        <f>IF(OR(B74="",B76="",B78="",B76=8),"",CONCATENATE(B79,"-",B76,"-",B74))</f>
        <v/>
      </c>
      <c r="E86" s="81" t="str">
        <f>IF(D86="","",IF(B75=0,0,CONCATENATE(B79,"-",B76,"-",B75)))</f>
        <v/>
      </c>
      <c r="F86" s="73" t="str">
        <f>IF(D86="","",HLOOKUP(D86,CTtable,19,FALSE))</f>
        <v/>
      </c>
      <c r="G86" s="6"/>
      <c r="H86" s="6"/>
      <c r="I86" s="6"/>
      <c r="J86" s="6"/>
      <c r="K86" s="6"/>
      <c r="L86" s="6"/>
      <c r="M86" s="6"/>
      <c r="N86" s="6"/>
      <c r="O86" s="6"/>
      <c r="P86" s="6"/>
      <c r="Q86" s="6"/>
      <c r="R86" s="6"/>
      <c r="S86" s="6"/>
      <c r="T86" s="6"/>
      <c r="U86" s="7"/>
      <c r="V86" s="28"/>
      <c r="W86" s="58">
        <v>2.4</v>
      </c>
      <c r="X86" s="75" t="str">
        <f>IF(E85="","",HLOOKUP(E85,CTtable,12,FALSE))</f>
        <v/>
      </c>
      <c r="Y86" s="22" t="str">
        <f>IF(D85="","",HLOOKUP(D85,CTtable,12,FALSE))</f>
        <v/>
      </c>
      <c r="Z86" s="75" t="str">
        <f>IF(E86="","",HLOOKUP(E86,CTtable,12,FALSE))</f>
        <v/>
      </c>
      <c r="AA86" s="73" t="str">
        <f>IF(D86="","",HLOOKUP(D86,CTtable,12,FALSE))</f>
        <v/>
      </c>
      <c r="AB86" s="75" t="str">
        <f>IF(E87="","",HLOOKUP(E87,CTtable,12,FALSE))</f>
        <v/>
      </c>
      <c r="AC86" s="22" t="str">
        <f>IF(D87="","",HLOOKUP(D87,CTtable,12,FALSE))</f>
        <v/>
      </c>
      <c r="AD86" s="75" t="str">
        <f>IF(E88="","",HLOOKUP(E88,CTtable,12,FALSE))</f>
        <v/>
      </c>
      <c r="AE86" s="73" t="str">
        <f>IF($D$88="","",HLOOKUP($D$88,CTtable,12,FALSE))</f>
        <v/>
      </c>
      <c r="AF86" s="6"/>
      <c r="AG86" s="78" t="str">
        <f t="shared" si="30"/>
        <v/>
      </c>
      <c r="AH86" s="79" t="str">
        <f t="shared" si="31"/>
        <v/>
      </c>
      <c r="AI86" s="78" t="str">
        <f t="shared" si="32"/>
        <v/>
      </c>
      <c r="AJ86" s="79" t="str">
        <f t="shared" si="33"/>
        <v/>
      </c>
      <c r="AK86" s="22"/>
      <c r="AL86" s="100" t="str">
        <f t="shared" si="34"/>
        <v/>
      </c>
      <c r="AM86" s="101" t="str">
        <f t="shared" si="35"/>
        <v/>
      </c>
      <c r="AN86" s="91" t="str">
        <f t="shared" si="36"/>
        <v/>
      </c>
      <c r="AO86" s="7"/>
      <c r="AQ86" s="28"/>
      <c r="AR86" s="6"/>
      <c r="AS86" s="6"/>
      <c r="AT86" s="6"/>
      <c r="AU86" s="6"/>
      <c r="AV86" s="6"/>
      <c r="AW86" s="6"/>
      <c r="AX86" s="6"/>
      <c r="AY86" s="6"/>
      <c r="AZ86" s="6"/>
      <c r="BA86" s="6"/>
      <c r="BB86" s="6"/>
      <c r="BC86" s="6"/>
      <c r="BD86" s="6"/>
      <c r="BE86" s="6"/>
      <c r="BF86" s="7"/>
      <c r="BH86" s="327" t="s">
        <v>610</v>
      </c>
      <c r="BI86" s="12" t="str">
        <f>IF(BI88&lt;&gt;"",BI88,IF(BI89=15,14,BI89))</f>
        <v/>
      </c>
      <c r="BJ86" s="190" t="str">
        <f>IF(BJ88="",BJ89,BJ88)</f>
        <v/>
      </c>
      <c r="BK86" s="12"/>
      <c r="BS86" s="222"/>
      <c r="BT86" s="12"/>
      <c r="BU86" s="327" t="s">
        <v>610</v>
      </c>
      <c r="BV86" s="12" t="str">
        <f>IF(BV88&lt;&gt;"",BV88,IF(BV89=15,14,BV89))</f>
        <v/>
      </c>
      <c r="BW86" s="190" t="str">
        <f>IF(BW88="",BW89,BW88)</f>
        <v/>
      </c>
      <c r="BX86" s="12"/>
      <c r="CF86" s="222"/>
      <c r="CG86" s="234"/>
      <c r="CH86" s="235"/>
      <c r="CI86" s="12"/>
      <c r="CJ86" s="12"/>
      <c r="CK86" s="12"/>
      <c r="CL86" s="243" t="e">
        <f>CONCATENATE(VLOOKUP(CI82,ChloramineTableV,2,FALSE)," C")</f>
        <v>#N/A</v>
      </c>
      <c r="CM86" s="244" t="str">
        <f>IF(OR(F10="",CI79=""),"",HLOOKUP(CI79,ChloramineTableV,CI82+2,FALSE))</f>
        <v/>
      </c>
      <c r="CN86" s="244" t="str">
        <f>IF(OR(F10="",CI78=""),"",HLOOKUP(CI78,ChloramineTableV,CI82+2,FALSE))</f>
        <v/>
      </c>
      <c r="CO86" s="81"/>
      <c r="CP86" s="219" t="str">
        <f>IF(OR(CN86="",CM86=""),"",CN86-((CN86-CM86)*CJ78))</f>
        <v/>
      </c>
      <c r="CQ86" s="12"/>
      <c r="CR86" s="182" t="str">
        <f>IF(OR(CP86="",CP87=""),"",CP87-((CP87-CP86)*CJ81))</f>
        <v/>
      </c>
      <c r="CS86" s="222"/>
      <c r="CU86" s="184" t="s">
        <v>465</v>
      </c>
      <c r="CV86" s="23"/>
      <c r="CW86" s="120" t="str">
        <f>IF(OR(CV74="",CV76="",CV76=0),"",CONCATENATE(CV76,"-",CV74))</f>
        <v/>
      </c>
      <c r="CX86" s="121" t="str">
        <f>IF(OR(CV75="",CV76="",CV76=0),"",CONCATENATE(CV76,"-",CV75))</f>
        <v/>
      </c>
      <c r="CY86" s="81"/>
      <c r="CZ86" s="81"/>
      <c r="DA86" s="6"/>
      <c r="DB86" s="12"/>
      <c r="DC86" s="12"/>
      <c r="DD86" s="241"/>
      <c r="DE86" s="241"/>
      <c r="DF86" s="241"/>
      <c r="DG86" s="241"/>
      <c r="DH86" s="241"/>
      <c r="DI86" s="241"/>
      <c r="DJ86" s="241"/>
      <c r="DK86" s="241"/>
      <c r="DL86" s="440"/>
      <c r="DM86" s="241"/>
      <c r="DN86" s="241"/>
      <c r="DO86" s="7"/>
    </row>
    <row r="87" spans="1:119" x14ac:dyDescent="0.2">
      <c r="A87" s="1" t="s">
        <v>53</v>
      </c>
      <c r="B87" s="6"/>
      <c r="C87" s="6"/>
      <c r="D87" s="22" t="str">
        <f>IF(OR(B74="",B76="",B78="",B76=8),"",CONCATENATE(B78,"-",B77,"-",B74))</f>
        <v/>
      </c>
      <c r="E87" s="81" t="str">
        <f>IF(D87="","",IF(B75=0,0,CONCATENATE(B78,"-",B77,"-",B75)))</f>
        <v/>
      </c>
      <c r="F87" s="73" t="str">
        <f>IF(D87="","",HLOOKUP(D87,CTtable,19,FALSE))</f>
        <v/>
      </c>
      <c r="G87" s="6"/>
      <c r="H87" s="6"/>
      <c r="I87" s="6"/>
      <c r="J87" s="6"/>
      <c r="K87" s="6"/>
      <c r="L87" s="6"/>
      <c r="M87" s="6"/>
      <c r="N87" s="6"/>
      <c r="O87" s="6"/>
      <c r="P87" s="6"/>
      <c r="Q87" s="6"/>
      <c r="R87" s="6"/>
      <c r="S87" s="6"/>
      <c r="T87" s="6"/>
      <c r="U87" s="7"/>
      <c r="V87" s="28"/>
      <c r="W87" s="58">
        <v>2.6</v>
      </c>
      <c r="X87" s="75" t="str">
        <f>IF(E85="","",HLOOKUP(E85,CTtable,13,FALSE))</f>
        <v/>
      </c>
      <c r="Y87" s="22" t="str">
        <f>IF(D85="","",HLOOKUP(D85,CTtable,13,FALSE))</f>
        <v/>
      </c>
      <c r="Z87" s="75" t="str">
        <f>IF(E86="","",HLOOKUP(E86,CTtable,13,FALSE))</f>
        <v/>
      </c>
      <c r="AA87" s="73" t="str">
        <f>IF(D86="","",HLOOKUP(D86,CTtable,13,FALSE))</f>
        <v/>
      </c>
      <c r="AB87" s="75" t="str">
        <f>IF(E87="","",HLOOKUP(E87,CTtable,13,FALSE))</f>
        <v/>
      </c>
      <c r="AC87" s="22" t="str">
        <f>IF(D87="","",HLOOKUP(D87,CTtable,13,FALSE))</f>
        <v/>
      </c>
      <c r="AD87" s="75" t="str">
        <f>IF(E88="","",HLOOKUP(E88,CTtable,13,FALSE))</f>
        <v/>
      </c>
      <c r="AE87" s="73" t="str">
        <f>IF($D$88="","",HLOOKUP($D$88,CTtable,13,FALSE))</f>
        <v/>
      </c>
      <c r="AF87" s="6"/>
      <c r="AG87" s="78" t="str">
        <f t="shared" si="30"/>
        <v/>
      </c>
      <c r="AH87" s="79" t="str">
        <f t="shared" si="31"/>
        <v/>
      </c>
      <c r="AI87" s="78" t="str">
        <f t="shared" si="32"/>
        <v/>
      </c>
      <c r="AJ87" s="79" t="str">
        <f t="shared" si="33"/>
        <v/>
      </c>
      <c r="AK87" s="22"/>
      <c r="AL87" s="100" t="str">
        <f t="shared" si="34"/>
        <v/>
      </c>
      <c r="AM87" s="101" t="str">
        <f t="shared" si="35"/>
        <v/>
      </c>
      <c r="AN87" s="91" t="str">
        <f t="shared" si="36"/>
        <v/>
      </c>
      <c r="AO87" s="7"/>
      <c r="AQ87" s="28"/>
      <c r="AR87" s="6"/>
      <c r="AS87" s="6"/>
      <c r="AT87" s="6"/>
      <c r="AU87" s="6"/>
      <c r="AV87" s="6"/>
      <c r="AW87" s="6"/>
      <c r="AX87" s="6"/>
      <c r="AY87" s="6"/>
      <c r="AZ87" s="6"/>
      <c r="BA87" s="6"/>
      <c r="BB87" s="6"/>
      <c r="BC87" s="6"/>
      <c r="BD87" s="6"/>
      <c r="BE87" s="6"/>
      <c r="BF87" s="7"/>
      <c r="BH87" s="327" t="s">
        <v>611</v>
      </c>
      <c r="BI87" s="12" t="str">
        <f>IF(BI86="","",IF(Temp4&gt;=30,11,IF(BI89=15,14,IF(BI86&gt;=2,BI86-1,1))))</f>
        <v/>
      </c>
      <c r="BJ87" s="335"/>
      <c r="BK87" s="12"/>
      <c r="BL87" s="335"/>
      <c r="BM87" s="581" t="s">
        <v>607</v>
      </c>
      <c r="BN87" s="581"/>
      <c r="BO87" s="335"/>
      <c r="BP87" s="336" t="s">
        <v>497</v>
      </c>
      <c r="BQ87" s="335"/>
      <c r="BR87" s="307" t="s">
        <v>58</v>
      </c>
      <c r="BS87" s="222"/>
      <c r="BT87" s="12"/>
      <c r="BU87" s="327" t="s">
        <v>611</v>
      </c>
      <c r="BV87" s="12" t="str">
        <f>IF(BV86="","",IF(Temp4&gt;=30,11,IF(BV89=15,14,IF(BV86&gt;=2,BV86-1,1))))</f>
        <v/>
      </c>
      <c r="BW87" s="335"/>
      <c r="BX87" s="12"/>
      <c r="BY87" s="335"/>
      <c r="BZ87" s="581" t="s">
        <v>607</v>
      </c>
      <c r="CA87" s="581"/>
      <c r="CB87" s="335"/>
      <c r="CC87" s="336" t="s">
        <v>497</v>
      </c>
      <c r="CD87" s="335"/>
      <c r="CE87" s="307" t="s">
        <v>58</v>
      </c>
      <c r="CF87" s="222"/>
      <c r="CG87" s="234"/>
      <c r="CH87" s="235"/>
      <c r="CI87" s="12"/>
      <c r="CJ87" s="12"/>
      <c r="CK87" s="12"/>
      <c r="CL87" s="243" t="e">
        <f>CONCATENATE(VLOOKUP(CI81,ChloramineTableV,2,FALSE)," C")</f>
        <v>#N/A</v>
      </c>
      <c r="CM87" s="244" t="str">
        <f>IF(OR(F10="",CI79=""),"",HLOOKUP(CI79,ChloramineTableV,CI81+2,FALSE))</f>
        <v/>
      </c>
      <c r="CN87" s="244" t="str">
        <f>IF(OR(F10="",CI78=""),"",HLOOKUP(CI78,ChloramineTableV,CI81+2,FALSE))</f>
        <v/>
      </c>
      <c r="CO87" s="81"/>
      <c r="CP87" s="220" t="str">
        <f>IF(OR(CN87="",CM87=""),"",CN87-((CN87-CM87)*CJ78))</f>
        <v/>
      </c>
      <c r="CQ87" s="12"/>
      <c r="CR87" s="181"/>
      <c r="CS87" s="222"/>
      <c r="CU87" s="407"/>
      <c r="CV87" s="12"/>
      <c r="CW87" s="12"/>
      <c r="CX87" s="81"/>
      <c r="CY87" s="81"/>
      <c r="CZ87" s="81"/>
      <c r="DA87" s="6"/>
      <c r="DB87" s="6"/>
      <c r="DC87" s="6"/>
      <c r="DD87" s="6"/>
      <c r="DE87" s="6"/>
      <c r="DF87" s="6"/>
      <c r="DG87" s="6"/>
      <c r="DH87" s="6"/>
      <c r="DI87" s="6"/>
      <c r="DJ87" s="6"/>
      <c r="DK87" s="6"/>
      <c r="DL87" s="28"/>
      <c r="DM87" s="6"/>
      <c r="DN87" s="6"/>
      <c r="DO87" s="7"/>
    </row>
    <row r="88" spans="1:119" ht="13.5" thickBot="1" x14ac:dyDescent="0.25">
      <c r="A88" s="33" t="s">
        <v>54</v>
      </c>
      <c r="B88" s="23"/>
      <c r="C88" s="23"/>
      <c r="D88" s="59" t="str">
        <f>IF(OR(B74="",B76="",B78="",B76=8),"",CONCATENATE(B78,"-",B76,"-",B74))</f>
        <v/>
      </c>
      <c r="E88" s="120" t="str">
        <f>IF(D88="","",IF(B75=0,0,CONCATENATE(B78,"-",B76,"-",B75)))</f>
        <v/>
      </c>
      <c r="F88" s="74" t="str">
        <f>IF(D88="","",HLOOKUP(D88,CTtable,19,FALSE))</f>
        <v/>
      </c>
      <c r="G88" s="6"/>
      <c r="H88" s="6"/>
      <c r="I88" s="6"/>
      <c r="J88" s="6"/>
      <c r="K88" s="6"/>
      <c r="L88" s="6"/>
      <c r="M88" s="6"/>
      <c r="N88" s="6"/>
      <c r="O88" s="6"/>
      <c r="P88" s="6"/>
      <c r="Q88" s="6"/>
      <c r="R88" s="6"/>
      <c r="S88" s="6"/>
      <c r="T88" s="6"/>
      <c r="U88" s="7"/>
      <c r="V88" s="28"/>
      <c r="W88" s="58">
        <v>2.8</v>
      </c>
      <c r="X88" s="75" t="str">
        <f>IF(E85="","",HLOOKUP(E85,CTtable,14,FALSE))</f>
        <v/>
      </c>
      <c r="Y88" s="22" t="str">
        <f>IF(D85="","",HLOOKUP(D85,CTtable,14,FALSE))</f>
        <v/>
      </c>
      <c r="Z88" s="75" t="str">
        <f>IF(E86="","",HLOOKUP(E86,CTtable,14,FALSE))</f>
        <v/>
      </c>
      <c r="AA88" s="73" t="str">
        <f>IF(D86="","",HLOOKUP(D86,CTtable,14,FALSE))</f>
        <v/>
      </c>
      <c r="AB88" s="75" t="str">
        <f>IF(E87="","",HLOOKUP(E87,CTtable,14,FALSE))</f>
        <v/>
      </c>
      <c r="AC88" s="22" t="str">
        <f>IF(D87="","",HLOOKUP(D87,CTtable,14,FALSE))</f>
        <v/>
      </c>
      <c r="AD88" s="75" t="str">
        <f>IF(E88="","",HLOOKUP(E88,CTtable,14,FALSE))</f>
        <v/>
      </c>
      <c r="AE88" s="73" t="str">
        <f>IF($D$88="","",HLOOKUP($D$88,CTtable,14,FALSE))</f>
        <v/>
      </c>
      <c r="AF88" s="6"/>
      <c r="AG88" s="78" t="str">
        <f t="shared" si="30"/>
        <v/>
      </c>
      <c r="AH88" s="79" t="str">
        <f t="shared" si="31"/>
        <v/>
      </c>
      <c r="AI88" s="78" t="str">
        <f t="shared" si="32"/>
        <v/>
      </c>
      <c r="AJ88" s="79" t="str">
        <f t="shared" si="33"/>
        <v/>
      </c>
      <c r="AK88" s="22"/>
      <c r="AL88" s="100" t="str">
        <f t="shared" si="34"/>
        <v/>
      </c>
      <c r="AM88" s="101" t="str">
        <f t="shared" si="35"/>
        <v/>
      </c>
      <c r="AN88" s="91" t="str">
        <f t="shared" si="36"/>
        <v/>
      </c>
      <c r="AO88" s="7"/>
      <c r="AQ88" s="28"/>
      <c r="AR88" s="6"/>
      <c r="AS88" s="6"/>
      <c r="AT88" s="6"/>
      <c r="AU88" s="6"/>
      <c r="AV88" s="6"/>
      <c r="AW88" s="6"/>
      <c r="AX88" s="6"/>
      <c r="AY88" s="6"/>
      <c r="AZ88" s="6"/>
      <c r="BA88" s="6"/>
      <c r="BB88" s="6"/>
      <c r="BC88" s="6"/>
      <c r="BD88" s="6"/>
      <c r="BE88" s="6"/>
      <c r="BF88" s="7"/>
      <c r="BH88" s="327" t="s">
        <v>614</v>
      </c>
      <c r="BI88" s="335" t="str">
        <f>IF((G10=""),"",IF((G10&lt;=0),"",IF((G10&lt;=0.5),1,IF((G10&lt;=1),2,IF((G10&lt;=2),3,IF((G10&lt;=3),4,IF((G10&lt;=5),5,IF((G10&lt;=7),6,""))))))))</f>
        <v/>
      </c>
      <c r="BJ88" s="351" t="str">
        <f>IF(BI88=1,0,IF(BI88=2,((1-G10)/0.5),IF(BI88=3,((2-G10)/1),IF(BI88=4,((3-G10)/1),IF(BI88=5,((5-G10)/2),IF(BI88=6,((7-G10)/2),""))))))</f>
        <v/>
      </c>
      <c r="BK88" s="81"/>
      <c r="BL88" s="335"/>
      <c r="BM88" s="334" t="e">
        <f>HLOOKUP(BI85,ClOcTable,2,FALSE)</f>
        <v>#N/A</v>
      </c>
      <c r="BN88" s="334" t="e">
        <f>HLOOKUP(BI84,ClOcTable,2,FALSE)</f>
        <v>#N/A</v>
      </c>
      <c r="BO88" s="335"/>
      <c r="BP88" s="337" t="str">
        <f>CONCATENATE(logCryptoR,"-log")</f>
        <v>-log</v>
      </c>
      <c r="BQ88" s="335"/>
      <c r="BR88" s="24" t="str">
        <f>CONCATENATE('CT Worksheet'!C26,'CT Worksheet'!D26)</f>
        <v/>
      </c>
      <c r="BS88" s="236"/>
      <c r="BT88" s="12"/>
      <c r="BU88" s="327" t="s">
        <v>614</v>
      </c>
      <c r="BV88" s="335" t="str">
        <f>IF((G10=""),"",IF((G10&lt;=0),"",IF((G10&lt;=0.5),1,IF((G10&lt;=1),2,IF((G10&lt;=2),3,IF((G10&lt;=3),4,IF((G10&lt;=5),5,IF((G10&lt;=7),6,""))))))))</f>
        <v/>
      </c>
      <c r="BW88" s="351" t="str">
        <f>IF(BI88=1,0,IF(BI88=2,((1-G10)/0.5),IF(BI88=3,((2-G10)/1),IF(BI88=4,((3-G10)/1),IF(BI88=5,((5-G10)/2),IF(BI88=6,((7-G10)/2),""))))))</f>
        <v/>
      </c>
      <c r="BX88" s="81"/>
      <c r="BY88" s="335"/>
      <c r="BZ88" s="334" t="e">
        <f>HLOOKUP(BV85,O3cTable,2,FALSE)</f>
        <v>#N/A</v>
      </c>
      <c r="CA88" s="334" t="e">
        <f>HLOOKUP(BV84,O3cTable,2,FALSE)</f>
        <v>#N/A</v>
      </c>
      <c r="CB88" s="335"/>
      <c r="CC88" s="337" t="str">
        <f>CONCATENATE(logCryptoR,"-log")</f>
        <v>-log</v>
      </c>
      <c r="CD88" s="335"/>
      <c r="CE88" s="378" t="str">
        <f>CONCATENATE('CT Worksheet'!C26,'CT Worksheet'!D26)</f>
        <v/>
      </c>
      <c r="CF88" s="236"/>
      <c r="CG88" s="234"/>
      <c r="CH88" s="235"/>
      <c r="CI88" s="12"/>
      <c r="CJ88" s="81"/>
      <c r="CK88" s="81"/>
      <c r="CL88" s="12"/>
      <c r="CM88" s="12"/>
      <c r="CN88" s="12"/>
      <c r="CO88" s="12"/>
      <c r="CP88" s="12"/>
      <c r="CQ88" s="12"/>
      <c r="CR88" s="12"/>
      <c r="CS88" s="236"/>
      <c r="CU88" s="235"/>
      <c r="CV88" s="12"/>
      <c r="CW88" s="12"/>
      <c r="CX88" s="81"/>
      <c r="CY88" s="81"/>
      <c r="CZ88" s="81"/>
      <c r="DA88" s="6"/>
      <c r="DB88" s="6"/>
      <c r="DC88" s="6"/>
      <c r="DD88" s="6"/>
      <c r="DE88" s="6"/>
      <c r="DF88" s="6"/>
      <c r="DG88" s="6"/>
      <c r="DH88" s="6"/>
      <c r="DI88" s="6"/>
      <c r="DJ88" s="6"/>
      <c r="DK88" s="6"/>
      <c r="DL88" s="28"/>
      <c r="DM88" s="6"/>
      <c r="DN88" s="6"/>
      <c r="DO88" s="7"/>
    </row>
    <row r="89" spans="1:119" ht="13.5" thickBot="1" x14ac:dyDescent="0.25">
      <c r="A89" s="28"/>
      <c r="B89" s="6"/>
      <c r="C89" s="6"/>
      <c r="D89" s="6"/>
      <c r="E89" s="6"/>
      <c r="F89" s="22"/>
      <c r="G89" s="6"/>
      <c r="H89" s="6"/>
      <c r="I89" s="6"/>
      <c r="J89" s="6"/>
      <c r="K89" s="6"/>
      <c r="L89" s="6"/>
      <c r="M89" s="6"/>
      <c r="N89" s="6"/>
      <c r="O89" s="6"/>
      <c r="P89" s="6"/>
      <c r="Q89" s="6"/>
      <c r="R89" s="6"/>
      <c r="S89" s="6"/>
      <c r="T89" s="6"/>
      <c r="U89" s="7"/>
      <c r="V89" s="28"/>
      <c r="W89" s="58">
        <v>3</v>
      </c>
      <c r="X89" s="67" t="str">
        <f>IF(E85="","",HLOOKUP(E85,CTtable,15,FALSE))</f>
        <v/>
      </c>
      <c r="Y89" s="59" t="str">
        <f>IF(D85="","",HLOOKUP(D85,CTtable,15,FALSE))</f>
        <v/>
      </c>
      <c r="Z89" s="67" t="str">
        <f>IF(E86="","",HLOOKUP(E86,CTtable,15,FALSE))</f>
        <v/>
      </c>
      <c r="AA89" s="74" t="str">
        <f>IF(D86="","",HLOOKUP(D86,CTtable,15,FALSE))</f>
        <v/>
      </c>
      <c r="AB89" s="67" t="str">
        <f>IF(E87="","",HLOOKUP(E87,CTtable,15,FALSE))</f>
        <v/>
      </c>
      <c r="AC89" s="59" t="str">
        <f>IF(D87="","",HLOOKUP(D87,CTtable,15,FALSE))</f>
        <v/>
      </c>
      <c r="AD89" s="67" t="str">
        <f>IF(E88="","",HLOOKUP(E88,CTtable,15,FALSE))</f>
        <v/>
      </c>
      <c r="AE89" s="74" t="str">
        <f>IF($D$88="","",HLOOKUP($D$88,CTtable,15,FALSE))</f>
        <v/>
      </c>
      <c r="AF89" s="6"/>
      <c r="AG89" s="69" t="str">
        <f t="shared" si="30"/>
        <v/>
      </c>
      <c r="AH89" s="80" t="str">
        <f t="shared" si="31"/>
        <v/>
      </c>
      <c r="AI89" s="69" t="str">
        <f t="shared" si="32"/>
        <v/>
      </c>
      <c r="AJ89" s="80" t="str">
        <f t="shared" si="33"/>
        <v/>
      </c>
      <c r="AK89" s="22"/>
      <c r="AL89" s="102" t="str">
        <f t="shared" si="34"/>
        <v/>
      </c>
      <c r="AM89" s="109" t="str">
        <f t="shared" si="35"/>
        <v/>
      </c>
      <c r="AN89" s="97" t="str">
        <f t="shared" si="36"/>
        <v/>
      </c>
      <c r="AO89" s="7"/>
      <c r="AQ89" s="28"/>
      <c r="AR89" s="6"/>
      <c r="AS89" s="6"/>
      <c r="AT89" s="6"/>
      <c r="AU89" s="6"/>
      <c r="AV89" s="6"/>
      <c r="AW89" s="6"/>
      <c r="AX89" s="6"/>
      <c r="AY89" s="6"/>
      <c r="AZ89" s="6"/>
      <c r="BA89" s="6"/>
      <c r="BB89" s="6"/>
      <c r="BC89" s="6"/>
      <c r="BD89" s="6"/>
      <c r="BE89" s="6"/>
      <c r="BF89" s="7"/>
      <c r="BH89" s="327" t="s">
        <v>615</v>
      </c>
      <c r="BI89" s="335" t="str">
        <f>IF(OR(BI88&lt;&gt;"",G10=""),"",IF((G10&lt;=10),7,IF((G10&lt;=15),8,IF((G10&lt;=20),9,IF((G10&lt;=25),10,11)))))</f>
        <v/>
      </c>
      <c r="BJ89" s="351" t="str">
        <f>IF(BI87=11,0,IF(BI89=7,((10-G10)/3),IF(BI89=8,((15-G10)/5),IF(BI89=9,((20-G10)/5),IF(BI89=10,((25-G10)/5),IF(BI89=11,((30-G10)/5),IF(BI89=12,0,"")))))))</f>
        <v/>
      </c>
      <c r="BK89" s="81"/>
      <c r="BL89" s="338" t="e">
        <f>CONCATENATE(VLOOKUP(BI87,ClOcTable,2,FALSE)," C")</f>
        <v>#N/A</v>
      </c>
      <c r="BM89" s="303" t="str">
        <f>IF(OR((F10=""),(BI85="")),"",HLOOKUP(BI85,ClOcTable,(BI87+2),FALSE))</f>
        <v/>
      </c>
      <c r="BN89" s="303" t="str">
        <f>IF(OR((F10=""),(BI84="")),"",HLOOKUP(BI84,ClOcTable,(BI87+2),FALSE))</f>
        <v/>
      </c>
      <c r="BO89" s="320"/>
      <c r="BP89" s="339" t="str">
        <f>IF(OR((BN89=""),(BM89="")),"",(BN89-((BN89-BM89)*BJ84)))</f>
        <v/>
      </c>
      <c r="BQ89" s="315"/>
      <c r="BR89" s="380" t="str">
        <f>IF(OR((BP89=""),(BP90="")),"",(BP90-((BP90-BP89)*BJ86)))</f>
        <v/>
      </c>
      <c r="BS89" s="236"/>
      <c r="BT89" s="12"/>
      <c r="BU89" s="327" t="s">
        <v>615</v>
      </c>
      <c r="BV89" s="335" t="str">
        <f>IF(OR(BI88&lt;&gt;"",G10=""),"",IF((G10&lt;=10),7,IF((G10&lt;=15),8,IF((G10&lt;=20),9,IF((G10&lt;=25),10,11)))))</f>
        <v/>
      </c>
      <c r="BW89" s="351" t="str">
        <f>IF(BV87=11,0,IF(BI89=7,((10-G10)/3),IF(BI89=8,((15-G10)/5),IF(BI89=9,((20-G10)/5),IF(BI89=10,((25-G10)/5),IF(BI89=11,((30-G10)/5),IF(BI89=12,0,"")))))))</f>
        <v/>
      </c>
      <c r="BX89" s="81"/>
      <c r="BY89" s="338" t="e">
        <f>CONCATENATE(VLOOKUP(BV87,O3cTable,2,FALSE)," C")</f>
        <v>#N/A</v>
      </c>
      <c r="BZ89" s="303" t="str">
        <f>IF(OR((F10=""),(BV85="")),"",HLOOKUP(BV85,O3cTable,(BV87+2),FALSE))</f>
        <v/>
      </c>
      <c r="CA89" s="303" t="str">
        <f>IF(OR((F10=""),(BV84="")),"",HLOOKUP(BV84,O3cTable,(BV87+2),FALSE))</f>
        <v/>
      </c>
      <c r="CB89" s="320"/>
      <c r="CC89" s="339" t="str">
        <f>IF(OR((CA89=""),(BZ89="")),"",(CA89-((CA89-BZ89)*BW84)))</f>
        <v/>
      </c>
      <c r="CD89" s="315"/>
      <c r="CE89" s="380" t="str">
        <f>IF(OR((CC89=""),(CC90="")),"",(CC90-((CC90-CC89)*BW86)))</f>
        <v/>
      </c>
      <c r="CF89" s="236"/>
      <c r="CG89" s="234"/>
      <c r="CH89" s="235"/>
      <c r="CI89" s="12"/>
      <c r="CJ89" s="81"/>
      <c r="CK89" s="81"/>
      <c r="CL89" s="12"/>
      <c r="CM89" s="12"/>
      <c r="CN89" s="12"/>
      <c r="CO89" s="12"/>
      <c r="CP89" s="12"/>
      <c r="CQ89" s="12"/>
      <c r="CR89" s="12"/>
      <c r="CS89" s="236"/>
      <c r="CU89" s="28"/>
      <c r="CV89" s="6"/>
      <c r="CW89" s="6"/>
      <c r="CX89" s="6"/>
      <c r="CY89" s="12"/>
      <c r="CZ89" s="81"/>
      <c r="DA89" s="6"/>
      <c r="DB89" s="6"/>
      <c r="DC89" s="6"/>
      <c r="DD89" s="6"/>
      <c r="DE89" s="6"/>
      <c r="DF89" s="6"/>
      <c r="DG89" s="6"/>
      <c r="DH89" s="6"/>
      <c r="DI89" s="6"/>
      <c r="DJ89" s="6"/>
      <c r="DK89" s="6"/>
      <c r="DL89" s="28"/>
      <c r="DM89" s="6"/>
      <c r="DN89" s="6"/>
      <c r="DO89" s="7"/>
    </row>
    <row r="90" spans="1:119" ht="13.5" thickBot="1" x14ac:dyDescent="0.25">
      <c r="A90" s="29"/>
      <c r="B90" s="9"/>
      <c r="C90" s="9"/>
      <c r="D90" s="9"/>
      <c r="E90" s="9"/>
      <c r="F90" s="9"/>
      <c r="G90" s="9"/>
      <c r="H90" s="9"/>
      <c r="I90" s="9"/>
      <c r="J90" s="9"/>
      <c r="K90" s="9"/>
      <c r="L90" s="9"/>
      <c r="M90" s="9"/>
      <c r="N90" s="9"/>
      <c r="O90" s="9"/>
      <c r="P90" s="9"/>
      <c r="Q90" s="9"/>
      <c r="R90" s="9"/>
      <c r="S90" s="9"/>
      <c r="T90" s="9"/>
      <c r="U90" s="10"/>
      <c r="V90" s="29"/>
      <c r="W90" s="9"/>
      <c r="X90" s="589" t="e">
        <f>J79</f>
        <v>#N/A</v>
      </c>
      <c r="Y90" s="589"/>
      <c r="Z90" s="590" t="e">
        <f>L79</f>
        <v>#N/A</v>
      </c>
      <c r="AA90" s="591"/>
      <c r="AB90" s="590" t="e">
        <f>J84</f>
        <v>#N/A</v>
      </c>
      <c r="AC90" s="591"/>
      <c r="AD90" s="589" t="e">
        <f>L84</f>
        <v>#N/A</v>
      </c>
      <c r="AE90" s="589"/>
      <c r="AF90" s="9"/>
      <c r="AG90" s="589" t="e">
        <f>O79</f>
        <v>#N/A</v>
      </c>
      <c r="AH90" s="589"/>
      <c r="AI90" s="617" t="e">
        <f>O84</f>
        <v>#N/A</v>
      </c>
      <c r="AJ90" s="589"/>
      <c r="AK90" s="159"/>
      <c r="AL90" s="602" t="str">
        <f>CONCATENATE("pH ",'CT Worksheet'!C28,", ",'CT Worksheet'!C26,'CT Worksheet'!D26)</f>
        <v xml:space="preserve">pH , </v>
      </c>
      <c r="AM90" s="602"/>
      <c r="AN90" s="602"/>
      <c r="AO90" s="10"/>
      <c r="AQ90" s="29"/>
      <c r="AR90" s="9"/>
      <c r="AS90" s="9"/>
      <c r="AT90" s="9"/>
      <c r="AU90" s="9"/>
      <c r="AV90" s="9"/>
      <c r="AW90" s="9"/>
      <c r="AX90" s="9"/>
      <c r="AY90" s="9"/>
      <c r="AZ90" s="9"/>
      <c r="BA90" s="9"/>
      <c r="BB90" s="9"/>
      <c r="BC90" s="9"/>
      <c r="BD90" s="9"/>
      <c r="BE90" s="9"/>
      <c r="BF90" s="10"/>
      <c r="BH90" s="248"/>
      <c r="BI90" s="161"/>
      <c r="BJ90" s="161"/>
      <c r="BK90" s="161"/>
      <c r="BL90" s="341" t="e">
        <f>CONCATENATE(VLOOKUP(BI86,ClOcTable,2,FALSE)," C")</f>
        <v>#N/A</v>
      </c>
      <c r="BM90" s="303" t="str">
        <f>IF(OR((F10=""),(BI85="")),"",HLOOKUP(BI85,ClOcTable,(BI86+2),FALSE))</f>
        <v/>
      </c>
      <c r="BN90" s="303" t="str">
        <f>IF(OR((F10=""),(BI84="")),"",HLOOKUP(BI84,ClOcTable,(BI86+2),FALSE))</f>
        <v/>
      </c>
      <c r="BO90" s="326"/>
      <c r="BP90" s="342" t="str">
        <f>IF(OR((BN90=""),(BM90="")),"",(BN90-((BN90-BM90)*BJ84)))</f>
        <v/>
      </c>
      <c r="BQ90" s="325"/>
      <c r="BR90" s="379"/>
      <c r="BS90" s="249"/>
      <c r="BT90" s="12"/>
      <c r="BU90" s="248"/>
      <c r="BV90" s="161"/>
      <c r="BW90" s="161"/>
      <c r="BX90" s="161"/>
      <c r="BY90" s="341" t="e">
        <f>CONCATENATE(VLOOKUP(BV86,O3cTable,2,FALSE)," C")</f>
        <v>#N/A</v>
      </c>
      <c r="BZ90" s="303" t="str">
        <f>IF(OR((F10=""),(BV85="")),"",HLOOKUP(BV85,O3cTable,(BV86+2),FALSE))</f>
        <v/>
      </c>
      <c r="CA90" s="303" t="str">
        <f>IF(OR((F10=""),(BV84="")),"",HLOOKUP(BV84,O3cTable,(BV86+2),FALSE))</f>
        <v/>
      </c>
      <c r="CB90" s="326"/>
      <c r="CC90" s="342" t="str">
        <f>IF(OR((CA90=""),(BZ90="")),"",(CA90-((CA90-BZ90)*BW84)))</f>
        <v/>
      </c>
      <c r="CD90" s="325"/>
      <c r="CE90" s="379"/>
      <c r="CF90" s="249"/>
      <c r="CG90" s="234"/>
      <c r="CH90" s="248"/>
      <c r="CI90" s="161"/>
      <c r="CJ90" s="161"/>
      <c r="CK90" s="161"/>
      <c r="CL90" s="161"/>
      <c r="CM90" s="161"/>
      <c r="CN90" s="161"/>
      <c r="CO90" s="161"/>
      <c r="CP90" s="161"/>
      <c r="CQ90" s="161"/>
      <c r="CR90" s="161"/>
      <c r="CS90" s="249"/>
      <c r="CU90" s="29"/>
      <c r="CV90" s="9"/>
      <c r="CW90" s="9"/>
      <c r="CX90" s="9"/>
      <c r="CY90" s="9"/>
      <c r="CZ90" s="9"/>
      <c r="DA90" s="9"/>
      <c r="DB90" s="9"/>
      <c r="DC90" s="9"/>
      <c r="DD90" s="9"/>
      <c r="DE90" s="9"/>
      <c r="DF90" s="9"/>
      <c r="DG90" s="9"/>
      <c r="DH90" s="9"/>
      <c r="DI90" s="9"/>
      <c r="DJ90" s="9"/>
      <c r="DK90" s="9"/>
      <c r="DL90" s="29"/>
      <c r="DM90" s="9"/>
      <c r="DN90" s="9"/>
      <c r="DO90" s="10"/>
    </row>
    <row r="91" spans="1:119" x14ac:dyDescent="0.2">
      <c r="A91" s="27"/>
      <c r="B91" s="4"/>
      <c r="C91" s="4" t="s">
        <v>50</v>
      </c>
      <c r="D91" s="4"/>
      <c r="E91" s="4"/>
      <c r="F91" s="158" t="s">
        <v>108</v>
      </c>
      <c r="G91" s="4" t="s">
        <v>485</v>
      </c>
      <c r="H91" s="4"/>
      <c r="I91" s="4"/>
      <c r="J91" s="571" t="s">
        <v>108</v>
      </c>
      <c r="K91" s="571"/>
      <c r="L91" s="571" t="s">
        <v>49</v>
      </c>
      <c r="M91" s="571"/>
      <c r="N91" s="4"/>
      <c r="O91" s="571" t="s">
        <v>56</v>
      </c>
      <c r="P91" s="571"/>
      <c r="Q91" s="158" t="s">
        <v>57</v>
      </c>
      <c r="R91" s="4"/>
      <c r="S91" s="4" t="s">
        <v>58</v>
      </c>
      <c r="T91" s="4" t="s">
        <v>59</v>
      </c>
      <c r="U91" s="5"/>
      <c r="V91" s="27"/>
      <c r="W91" s="4"/>
      <c r="X91" s="585" t="s">
        <v>456</v>
      </c>
      <c r="Y91" s="585"/>
      <c r="Z91" s="585"/>
      <c r="AA91" s="585"/>
      <c r="AB91" s="585"/>
      <c r="AC91" s="585"/>
      <c r="AD91" s="585"/>
      <c r="AE91" s="585"/>
      <c r="AF91" s="4"/>
      <c r="AG91" s="571" t="str">
        <f>O91</f>
        <v>Interpolate pH</v>
      </c>
      <c r="AH91" s="571"/>
      <c r="AI91" s="571"/>
      <c r="AJ91" s="571"/>
      <c r="AK91" s="4"/>
      <c r="AL91" s="571" t="s">
        <v>151</v>
      </c>
      <c r="AM91" s="571"/>
      <c r="AN91" s="4" t="s">
        <v>152</v>
      </c>
      <c r="AO91" s="5"/>
      <c r="AQ91" s="27"/>
      <c r="AR91" s="4"/>
      <c r="AS91" s="4"/>
      <c r="AT91" s="4"/>
      <c r="AU91" s="4"/>
      <c r="AV91" s="4"/>
      <c r="AW91" s="4"/>
      <c r="AX91" s="4"/>
      <c r="AY91" s="4"/>
      <c r="AZ91" s="4"/>
      <c r="BA91" s="4"/>
      <c r="BB91" s="4"/>
      <c r="BC91" s="4"/>
      <c r="BD91" s="4"/>
      <c r="BE91" s="4"/>
      <c r="BF91" s="5"/>
      <c r="BH91" s="232"/>
      <c r="BI91" s="160"/>
      <c r="BJ91" s="160"/>
      <c r="BK91" s="160"/>
      <c r="BL91" s="160"/>
      <c r="BM91" s="160"/>
      <c r="BN91" s="160"/>
      <c r="BO91" s="160"/>
      <c r="BP91" s="160"/>
      <c r="BQ91" s="160"/>
      <c r="BR91" s="160"/>
      <c r="BS91" s="233"/>
      <c r="BT91" s="12"/>
      <c r="BU91" s="232"/>
      <c r="BV91" s="160"/>
      <c r="BW91" s="160"/>
      <c r="BX91" s="160"/>
      <c r="BY91" s="160"/>
      <c r="BZ91" s="160"/>
      <c r="CA91" s="160"/>
      <c r="CB91" s="160"/>
      <c r="CC91" s="160"/>
      <c r="CD91" s="160"/>
      <c r="CE91" s="160"/>
      <c r="CF91" s="233"/>
      <c r="CG91" s="234"/>
      <c r="CH91" s="232"/>
      <c r="CI91" s="160"/>
      <c r="CJ91" s="160"/>
      <c r="CK91" s="160"/>
      <c r="CL91" s="160"/>
      <c r="CM91" s="160"/>
      <c r="CN91" s="160"/>
      <c r="CO91" s="160"/>
      <c r="CP91" s="160"/>
      <c r="CQ91" s="160"/>
      <c r="CR91" s="160"/>
      <c r="CS91" s="233"/>
      <c r="CU91" s="27"/>
      <c r="CV91" s="4"/>
      <c r="CW91" s="4" t="s">
        <v>50</v>
      </c>
      <c r="CX91" s="4"/>
      <c r="CY91" s="4"/>
      <c r="CZ91" s="412" t="s">
        <v>108</v>
      </c>
      <c r="DA91" s="406" t="s">
        <v>652</v>
      </c>
      <c r="DB91" s="4"/>
      <c r="DC91" s="4"/>
      <c r="DD91" s="571"/>
      <c r="DE91" s="571"/>
      <c r="DF91" s="571" t="s">
        <v>56</v>
      </c>
      <c r="DG91" s="571"/>
      <c r="DH91" s="412" t="s">
        <v>634</v>
      </c>
      <c r="DI91" s="411"/>
      <c r="DJ91" s="4" t="s">
        <v>58</v>
      </c>
      <c r="DK91" s="4"/>
      <c r="DL91" s="570" t="s">
        <v>661</v>
      </c>
      <c r="DM91" s="571"/>
      <c r="DN91" s="571"/>
      <c r="DO91" s="572"/>
    </row>
    <row r="92" spans="1:119" x14ac:dyDescent="0.2">
      <c r="A92" s="28" t="s">
        <v>446</v>
      </c>
      <c r="B92" s="43" t="str">
        <f>IF(OR(logGiardiaR="",'CT Worksheet'!B33&lt;&gt;"Cl2 (free)"),"",IF(logGiardiaR&lt;=0.5,1,IF(logGiardiaR&lt;=1,2,IF(logGiardiaR&lt;=1.5,3,IF(logGiardiaR&lt;=2,4,IF(logGiardiaR&lt;=2.5,5,6))))))</f>
        <v/>
      </c>
      <c r="C92" s="44">
        <f>IF(B92=2,((1-logGiardiaR)/0.5),IF(B92=3,((1.5-logGiardiaR)/0.5),IF(B92=4,((2-logGiardiaR)/0.5),IF(B92=5,((2.5-logGiardiaR)/0.5),IF(B92=6,((3-logGiardiaR)/0.5),IF(B93=0,(0.5-logGiardiaR)/0.5,0))))))</f>
        <v>0</v>
      </c>
      <c r="D92" s="6"/>
      <c r="E92" s="6"/>
      <c r="F92" s="47" t="str">
        <f>'CT Worksheet'!B30</f>
        <v>Pipeline</v>
      </c>
      <c r="G92" s="6"/>
      <c r="H92" s="6"/>
      <c r="I92" s="6"/>
      <c r="J92" s="41" t="str">
        <f>F92</f>
        <v>Pipeline</v>
      </c>
      <c r="K92" s="41"/>
      <c r="L92" s="6"/>
      <c r="M92" s="6"/>
      <c r="N92" s="22"/>
      <c r="O92" s="6"/>
      <c r="P92" s="6"/>
      <c r="Q92" s="6"/>
      <c r="R92" s="6"/>
      <c r="S92" s="6"/>
      <c r="T92" s="6"/>
      <c r="U92" s="7"/>
      <c r="V92" s="28"/>
      <c r="W92" s="6"/>
      <c r="X92" s="587" t="str">
        <f>J94</f>
        <v xml:space="preserve">CT Table </v>
      </c>
      <c r="Y92" s="603"/>
      <c r="Z92" s="587" t="str">
        <f>L94</f>
        <v xml:space="preserve">CT Table </v>
      </c>
      <c r="AA92" s="588"/>
      <c r="AB92" s="603" t="str">
        <f>J99</f>
        <v xml:space="preserve">CT Table </v>
      </c>
      <c r="AC92" s="603"/>
      <c r="AD92" s="587" t="str">
        <f>L99</f>
        <v xml:space="preserve">CT Table </v>
      </c>
      <c r="AE92" s="588"/>
      <c r="AF92" s="6"/>
      <c r="AG92" s="22"/>
      <c r="AH92" s="22"/>
      <c r="AI92" s="22"/>
      <c r="AJ92" s="22"/>
      <c r="AK92" s="22"/>
      <c r="AL92" s="22"/>
      <c r="AM92" s="22"/>
      <c r="AN92" s="6"/>
      <c r="AO92" s="7"/>
      <c r="AQ92" s="28"/>
      <c r="AR92" s="6"/>
      <c r="AS92" s="6"/>
      <c r="AT92" s="6"/>
      <c r="AU92" s="6"/>
      <c r="AV92" s="586" t="s">
        <v>490</v>
      </c>
      <c r="AW92" s="586"/>
      <c r="AX92" s="586"/>
      <c r="AY92" s="586"/>
      <c r="AZ92" s="6"/>
      <c r="BA92" s="6"/>
      <c r="BB92" s="6"/>
      <c r="BC92" s="6"/>
      <c r="BD92" s="6"/>
      <c r="BE92" s="6"/>
      <c r="BF92" s="7"/>
      <c r="BH92" s="235"/>
      <c r="BI92" s="12"/>
      <c r="BJ92" s="12"/>
      <c r="BK92" s="12"/>
      <c r="BL92" s="12"/>
      <c r="BM92" s="622" t="s">
        <v>529</v>
      </c>
      <c r="BN92" s="622"/>
      <c r="BO92" s="622"/>
      <c r="BP92" s="622"/>
      <c r="BQ92" s="12"/>
      <c r="BR92" s="12"/>
      <c r="BS92" s="236"/>
      <c r="BT92" s="12"/>
      <c r="BU92" s="235"/>
      <c r="BV92" s="12"/>
      <c r="BW92" s="12"/>
      <c r="BX92" s="12"/>
      <c r="BY92" s="12"/>
      <c r="BZ92" s="622" t="s">
        <v>533</v>
      </c>
      <c r="CA92" s="622"/>
      <c r="CB92" s="622"/>
      <c r="CC92" s="622"/>
      <c r="CD92" s="12"/>
      <c r="CE92" s="12"/>
      <c r="CF92" s="236"/>
      <c r="CG92" s="234"/>
      <c r="CH92" s="235"/>
      <c r="CI92" s="12"/>
      <c r="CJ92" s="12"/>
      <c r="CK92" s="12"/>
      <c r="CL92" s="12"/>
      <c r="CM92" s="622" t="s">
        <v>532</v>
      </c>
      <c r="CN92" s="622"/>
      <c r="CO92" s="622"/>
      <c r="CP92" s="622"/>
      <c r="CQ92" s="12"/>
      <c r="CR92" s="12"/>
      <c r="CS92" s="236"/>
      <c r="CU92" s="28" t="s">
        <v>446</v>
      </c>
      <c r="CV92" s="43" t="str">
        <f>IF(OR(MicrocystinR="",'CT Worksheet'!$B33&lt;&gt;"Cl2 (free)"),"",IF(MicrocystinR&lt;=10,1,IF(MicrocystinR&lt;=50,2,3)))</f>
        <v/>
      </c>
      <c r="CW92" s="190">
        <f>IF(CV92=2,((50-MicrocystinR)/40),IF(CV92=3,((100-MicrocystinR)/50),IF(CV93=0,(10-MicrocystinR)/10,0)))</f>
        <v>0</v>
      </c>
      <c r="CX92" s="6"/>
      <c r="CY92" s="6"/>
      <c r="CZ92" s="211">
        <f>'CT Worksheet'!Q31</f>
        <v>0</v>
      </c>
      <c r="DA92" s="12"/>
      <c r="DB92" s="12"/>
      <c r="DC92" s="12"/>
      <c r="DD92" s="564"/>
      <c r="DE92" s="564"/>
      <c r="DF92" s="6"/>
      <c r="DG92" s="6"/>
      <c r="DH92" s="22"/>
      <c r="DI92" s="6"/>
      <c r="DL92" s="28"/>
      <c r="DM92" s="6"/>
      <c r="DN92" s="6"/>
      <c r="DO92" s="7"/>
    </row>
    <row r="93" spans="1:119" ht="13.5" thickBot="1" x14ac:dyDescent="0.25">
      <c r="A93" s="28" t="s">
        <v>447</v>
      </c>
      <c r="B93" s="12" t="str">
        <f>IF(B92="","",IF(B92&gt;=2,B92-1,IF('CT Worksheet'!S3&lt;0.5,0,1)))</f>
        <v/>
      </c>
      <c r="C93" s="6"/>
      <c r="D93" s="6"/>
      <c r="E93" s="6"/>
      <c r="F93" s="22"/>
      <c r="G93" s="6"/>
      <c r="H93" s="6"/>
      <c r="I93" s="6"/>
      <c r="J93" s="39" t="e">
        <f>VLOOKUP(B93,[0]!Categories,2,FALSE)</f>
        <v>#N/A</v>
      </c>
      <c r="K93" s="39" t="e">
        <f>VLOOKUP(B92,[0]!Categories,2,FALSE)</f>
        <v>#N/A</v>
      </c>
      <c r="L93" s="38" t="e">
        <f>J93</f>
        <v>#N/A</v>
      </c>
      <c r="M93" s="39" t="e">
        <f>K93</f>
        <v>#N/A</v>
      </c>
      <c r="N93" s="6"/>
      <c r="O93" s="39" t="e">
        <f>J93</f>
        <v>#N/A</v>
      </c>
      <c r="P93" s="39" t="e">
        <f>K93</f>
        <v>#N/A</v>
      </c>
      <c r="Q93" s="24" t="str">
        <f>CONCATENATE(logGiardiaR,"-log")</f>
        <v>-log</v>
      </c>
      <c r="R93" s="6"/>
      <c r="S93" s="26" t="str">
        <f>CONCATENATE('CT Worksheet'!C32,'CT Worksheet'!D32)</f>
        <v/>
      </c>
      <c r="T93" s="26" t="str">
        <f>CONCATENATE('CT Worksheet'!C33,'CT Worksheet'!D33)</f>
        <v>mg/l</v>
      </c>
      <c r="U93" s="7"/>
      <c r="V93" s="28"/>
      <c r="W93" s="22" t="s">
        <v>150</v>
      </c>
      <c r="X93" s="49" t="e">
        <f>J93</f>
        <v>#N/A</v>
      </c>
      <c r="Y93" s="50" t="e">
        <f>K93</f>
        <v>#N/A</v>
      </c>
      <c r="Z93" s="49" t="e">
        <f>L93</f>
        <v>#N/A</v>
      </c>
      <c r="AA93" s="51" t="e">
        <f>M93</f>
        <v>#N/A</v>
      </c>
      <c r="AB93" s="50" t="e">
        <f>J93</f>
        <v>#N/A</v>
      </c>
      <c r="AC93" s="50" t="e">
        <f>K93</f>
        <v>#N/A</v>
      </c>
      <c r="AD93" s="49" t="e">
        <f>L93</f>
        <v>#N/A</v>
      </c>
      <c r="AE93" s="51" t="e">
        <f>M93</f>
        <v>#N/A</v>
      </c>
      <c r="AF93" s="6"/>
      <c r="AG93" s="81" t="e">
        <f>X93</f>
        <v>#N/A</v>
      </c>
      <c r="AH93" s="22" t="e">
        <f>Y93</f>
        <v>#N/A</v>
      </c>
      <c r="AI93" s="22" t="e">
        <f>AB93</f>
        <v>#N/A</v>
      </c>
      <c r="AJ93" s="22" t="e">
        <f>AE93</f>
        <v>#N/A</v>
      </c>
      <c r="AK93" s="22"/>
      <c r="AL93" s="22" t="e">
        <f>AG93</f>
        <v>#N/A</v>
      </c>
      <c r="AM93" s="22" t="e">
        <f>AH93</f>
        <v>#N/A</v>
      </c>
      <c r="AN93" s="26" t="str">
        <f>Q93</f>
        <v>-log</v>
      </c>
      <c r="AO93" s="7"/>
      <c r="AQ93" s="28"/>
      <c r="AR93" s="6"/>
      <c r="AS93" s="6" t="s">
        <v>50</v>
      </c>
      <c r="AT93" s="6"/>
      <c r="AU93" s="6"/>
      <c r="AV93" s="569" t="str">
        <f>F92</f>
        <v>Pipeline</v>
      </c>
      <c r="AW93" s="569"/>
      <c r="AX93" s="569"/>
      <c r="AY93" s="569"/>
      <c r="AZ93" s="6"/>
      <c r="BA93" s="586" t="s">
        <v>56</v>
      </c>
      <c r="BB93" s="586"/>
      <c r="BC93" s="22" t="s">
        <v>57</v>
      </c>
      <c r="BD93" s="6"/>
      <c r="BE93" s="22" t="s">
        <v>58</v>
      </c>
      <c r="BF93" s="7"/>
      <c r="BH93" s="235"/>
      <c r="BI93" s="12"/>
      <c r="BJ93" s="12" t="s">
        <v>50</v>
      </c>
      <c r="BK93" s="12"/>
      <c r="BL93" s="12"/>
      <c r="BM93" s="564" t="str">
        <f>F92</f>
        <v>Pipeline</v>
      </c>
      <c r="BN93" s="564"/>
      <c r="BO93" s="564"/>
      <c r="BP93" s="564"/>
      <c r="BQ93" s="12"/>
      <c r="BR93" s="12"/>
      <c r="BS93" s="236"/>
      <c r="BT93" s="81"/>
      <c r="BU93" s="235"/>
      <c r="BV93" s="12"/>
      <c r="BW93" s="12" t="s">
        <v>50</v>
      </c>
      <c r="BX93" s="12"/>
      <c r="BY93" s="12"/>
      <c r="BZ93" s="564" t="str">
        <f>F92</f>
        <v>Pipeline</v>
      </c>
      <c r="CA93" s="564"/>
      <c r="CB93" s="564"/>
      <c r="CC93" s="564"/>
      <c r="CD93" s="12"/>
      <c r="CE93" s="12"/>
      <c r="CF93" s="236"/>
      <c r="CG93" s="234"/>
      <c r="CH93" s="235"/>
      <c r="CI93" s="12"/>
      <c r="CJ93" s="12" t="s">
        <v>50</v>
      </c>
      <c r="CK93" s="12"/>
      <c r="CL93" s="12"/>
      <c r="CM93" s="564" t="str">
        <f>F92</f>
        <v>Pipeline</v>
      </c>
      <c r="CN93" s="564"/>
      <c r="CO93" s="564"/>
      <c r="CP93" s="564"/>
      <c r="CQ93" s="12"/>
      <c r="CR93" s="12"/>
      <c r="CS93" s="236"/>
      <c r="CU93" s="28" t="s">
        <v>447</v>
      </c>
      <c r="CV93" s="12" t="str">
        <f>IF(CV92="","",IF(MicrocystinR&lt;10,0,IF(CV92&gt;2,CV92-1,1)))</f>
        <v/>
      </c>
      <c r="CW93" s="12"/>
      <c r="CX93" s="6"/>
      <c r="CY93" s="6"/>
      <c r="CZ93" s="22"/>
      <c r="DA93" s="6"/>
      <c r="DB93" s="12"/>
      <c r="DC93" s="12"/>
      <c r="DD93" s="143"/>
      <c r="DE93" s="143"/>
      <c r="DF93" s="143"/>
      <c r="DG93" s="143"/>
      <c r="DH93" s="12"/>
      <c r="DI93" s="143"/>
      <c r="DJ93" s="143"/>
      <c r="DK93" s="211"/>
      <c r="DL93" s="235"/>
      <c r="DM93" s="211"/>
      <c r="DN93" s="409"/>
      <c r="DO93" s="7"/>
    </row>
    <row r="94" spans="1:119" ht="13.5" thickBot="1" x14ac:dyDescent="0.25">
      <c r="A94" s="28" t="s">
        <v>91</v>
      </c>
      <c r="B94" s="6" t="str">
        <f>IF(pH_5="","",IF(pH_5&lt;=6,1,IF(pH_5&lt;=6.5,2,IF(pH_5&lt;=7,3,IF(pH_5&lt;=7.5,4,IF(pH_5&lt;=8,5,IF(pH_5&lt;=8.5,6,IF(pH_5&lt;=9,7,8))))))))</f>
        <v/>
      </c>
      <c r="C94" s="44">
        <f>IF(B94=2,((6.5-pH_5)/0.5),IF(B94=3,((7-pH_5)/0.5),IF(B94=4,((7.5-pH_5)/0.5),IF(B94=5,((8-pH_5)/0.5),IF(B94=6,((8.5-pH_5)/0.5),IF(B94=7,((9-'CT Worksheet'!C34)/0.5),0))))))</f>
        <v>0</v>
      </c>
      <c r="D94" s="6"/>
      <c r="E94" s="6"/>
      <c r="F94" s="22"/>
      <c r="G94" s="6"/>
      <c r="H94" s="6"/>
      <c r="I94" s="6"/>
      <c r="J94" s="608" t="str">
        <f>CONCATENATE("CT Table ",F103)</f>
        <v xml:space="preserve">CT Table </v>
      </c>
      <c r="K94" s="609"/>
      <c r="L94" s="614" t="str">
        <f>CONCATENATE("CT Table ",F104)</f>
        <v xml:space="preserve">CT Table </v>
      </c>
      <c r="M94" s="615"/>
      <c r="N94" s="6"/>
      <c r="O94" s="6"/>
      <c r="P94" s="6"/>
      <c r="Q94" s="6"/>
      <c r="R94" s="6"/>
      <c r="S94" s="6"/>
      <c r="T94" s="6"/>
      <c r="U94" s="7"/>
      <c r="V94" s="28"/>
      <c r="W94" s="57">
        <v>0.4</v>
      </c>
      <c r="X94" s="75" t="str">
        <f>IF(E103="","",HLOOKUP(E103,CTtable,2,FALSE))</f>
        <v/>
      </c>
      <c r="Y94" s="22" t="str">
        <f>IF(D103="","",HLOOKUP(D103,CTtable,2,FALSE))</f>
        <v/>
      </c>
      <c r="Z94" s="75" t="str">
        <f>IF(E104="","",HLOOKUP(E104,CTtable,2,FALSE))</f>
        <v/>
      </c>
      <c r="AA94" s="73" t="str">
        <f>IF(D104="","",HLOOKUP(D104,CTtable,2,FALSE))</f>
        <v/>
      </c>
      <c r="AB94" s="75" t="str">
        <f>IF(E105="","",HLOOKUP(E105,CTtable,2,FALSE))</f>
        <v/>
      </c>
      <c r="AC94" s="22" t="str">
        <f>IF(D105="","",HLOOKUP(D105,CTtable,2,FALSE))</f>
        <v/>
      </c>
      <c r="AD94" s="75" t="str">
        <f>IF(E106="","",HLOOKUP(E106,CTtable,2,FALSE))</f>
        <v/>
      </c>
      <c r="AE94" s="73" t="str">
        <f>IF($D$106="","",HLOOKUP($D$106,CTtable,2,FALSE))</f>
        <v/>
      </c>
      <c r="AF94" s="6"/>
      <c r="AG94" s="63" t="str">
        <f>IF(OR(X94="",Z94=""),"",Z94-((Z94-X94)*pH5fraction))</f>
        <v/>
      </c>
      <c r="AH94" s="77" t="str">
        <f>IF(OR(Y94="",AA94=""),"",AA94-((AA94-Y94)*pH5fraction))</f>
        <v/>
      </c>
      <c r="AI94" s="63" t="str">
        <f>IF(OR(AB94="",AD94=""),"",AD94-((AD94-AB94)*pH5fraction))</f>
        <v/>
      </c>
      <c r="AJ94" s="77" t="str">
        <f>IF(OR(AC94="",AE94=""),"",AE94-((AE94-AC94)*pH5fraction))</f>
        <v/>
      </c>
      <c r="AK94" s="22"/>
      <c r="AL94" s="98" t="str">
        <f t="shared" ref="AL94:AL107" si="37">IF(OR(AG94="",AI94=""),"",AI94-((AI94-AG94)*Temp5fraction))</f>
        <v/>
      </c>
      <c r="AM94" s="99" t="str">
        <f t="shared" ref="AM94:AM107" si="38">IF(OR(AH94="",AJ94=""),"",AJ94-((AJ94-AH94)*Temp5fraction))</f>
        <v/>
      </c>
      <c r="AN94" s="90" t="str">
        <f>IF(OR(AL94="",AM94=""),"",AM94-((AM94-AL94)*logIfraction))</f>
        <v/>
      </c>
      <c r="AO94" s="7"/>
      <c r="AQ94" s="28" t="s">
        <v>460</v>
      </c>
      <c r="AR94" s="6" t="str">
        <f>IF(OR(logVirusR="",'CT Worksheet'!B33&lt;&gt;"Cl2 (free)"),"",IF(logVirusR&lt;=2,1,IF(logVirusR&lt;=3,2,IF(logVirusR&lt;=4,3,4))))</f>
        <v/>
      </c>
      <c r="AS94" s="190">
        <f>IF(AR94=2,(3-logVirusR)/1,IF(AR94=3,(4-logVirusR)/1,IF(AR95=0,(2-logVirusR)/2,0)))</f>
        <v>0</v>
      </c>
      <c r="AT94" s="6"/>
      <c r="AU94" s="6"/>
      <c r="AV94" s="6"/>
      <c r="AW94" s="6"/>
      <c r="AX94" s="6"/>
      <c r="AY94" s="6"/>
      <c r="AZ94" s="6"/>
      <c r="BA94" s="6"/>
      <c r="BB94" s="6"/>
      <c r="BC94" s="6"/>
      <c r="BD94" s="6"/>
      <c r="BE94" s="6"/>
      <c r="BF94" s="7"/>
      <c r="BH94" s="235" t="s">
        <v>493</v>
      </c>
      <c r="BI94" s="237" t="str">
        <f>IF(OR(logGiardiaR="",'CT Worksheet'!B33&lt;&gt;"Chlorine Dioxide"),"",IF(logGiardiaR&lt;=0.5,1,IF(logGiardiaR&lt;=1,2,IF(logGiardiaR&lt;=1.5,3,IF(logGiardiaR&lt;=2,4,IF(logGiardiaR&lt;=2.5,5,6))))))</f>
        <v/>
      </c>
      <c r="BJ94" s="190">
        <f>IF(BI94=2,((1-logGiardiaR)/0.5),IF(BI94=3,((1.5-logGiardiaR)/0.5),IF(BI94=4,((2-logGiardiaR)/0.5),IF(BI94=5,((2.5-logGiardiaR)/0.5),IF(BI94=6,((3-logGiardiaR)/0.5),IF(BI95=0,(0.5-logGiardiaR)/0.5,0))))))</f>
        <v>0</v>
      </c>
      <c r="BK94" s="12"/>
      <c r="BL94" s="12"/>
      <c r="BM94" s="12"/>
      <c r="BN94" s="12"/>
      <c r="BO94" s="12"/>
      <c r="BP94" s="622" t="s">
        <v>498</v>
      </c>
      <c r="BQ94" s="622"/>
      <c r="BR94" s="622"/>
      <c r="BS94" s="238"/>
      <c r="BT94" s="12"/>
      <c r="BU94" s="235" t="s">
        <v>504</v>
      </c>
      <c r="BV94" s="237" t="str">
        <f>IF(OR(logGiardiaR="",'CT Worksheet'!B33&lt;&gt;"Ozone"),"",IF(logGiardiaR&lt;=0.5,1,IF(logGiardiaR&lt;=1,2,IF(logGiardiaR&lt;=1.5,3,IF(logGiardiaR&lt;=2,4,IF(logGiardiaR&lt;=2.5,5,6))))))</f>
        <v/>
      </c>
      <c r="BW94" s="190">
        <f>IF(BV94=2,((1-logGiardiaR)/0.5),IF(BV94=3,((1.5-logGiardiaR)/0.5),IF(BV94=4,((2-logGiardiaR)/0.5),IF(BV94=5,((2.5-logGiardiaR)/0.5),IF(BV94=6,((3-logGiardiaR)/0.5),IF(BV95=0,(0.5-logGiardiaR)/0.5,0))))))</f>
        <v>0</v>
      </c>
      <c r="BX94" s="12"/>
      <c r="BY94" s="12"/>
      <c r="BZ94" s="12"/>
      <c r="CA94" s="12"/>
      <c r="CB94" s="12"/>
      <c r="CC94" s="622" t="s">
        <v>498</v>
      </c>
      <c r="CD94" s="622"/>
      <c r="CE94" s="622"/>
      <c r="CF94" s="238"/>
      <c r="CG94" s="234"/>
      <c r="CH94" s="235" t="s">
        <v>508</v>
      </c>
      <c r="CI94" s="237" t="str">
        <f>IF(OR(logGiardiaR="",'CT Worksheet'!B33&lt;&gt;"Chloramine"),"",IF(logGiardiaR&lt;=0.5,1,IF(logGiardiaR&lt;=1,2,IF(logGiardiaR&lt;=1.5,3,IF(logGiardiaR&lt;=2,4,IF(logGiardiaR&lt;=2.5,5,6))))))</f>
        <v/>
      </c>
      <c r="CJ94" s="190">
        <f>IF(CI94=2,((1-logGiardiaR)/0.5),IF(CI94=3,((1.5-logGiardiaR)/0.5),IF(CI94=4,((2-logGiardiaR)/0.5),IF(CI94=5,((2.5-logGiardiaR)/0.5),IF(CI94=6,((3-logGiardiaR)/0.5),IF(CI95=0,(0.5-logGiardiaR)/0.5,0))))))</f>
        <v>0</v>
      </c>
      <c r="CK94" s="12"/>
      <c r="CL94" s="12"/>
      <c r="CM94" s="12"/>
      <c r="CN94" s="12"/>
      <c r="CO94" s="12"/>
      <c r="CP94" s="622" t="s">
        <v>498</v>
      </c>
      <c r="CQ94" s="622"/>
      <c r="CR94" s="622"/>
      <c r="CS94" s="238"/>
      <c r="CU94" s="28" t="s">
        <v>69</v>
      </c>
      <c r="CV94" s="6" t="str">
        <f>IF(pH_5="","",IF(pH_5&lt;=6,1,IF(pH_5&lt;=7,2,IF(pH_5&lt;=8,3,IF(pH_5&lt;=9,4,0)))))</f>
        <v/>
      </c>
      <c r="CW94" s="190">
        <f>IF(CV94=2,((7-'CT Worksheet'!C34)/1),IF(CV94=3,((8-'CT Worksheet'!C34)/1),IF(CV94=4,((9-'CT Worksheet'!C34)/1),0)))</f>
        <v>0</v>
      </c>
      <c r="CX94" s="6"/>
      <c r="CY94" s="6"/>
      <c r="CZ94" s="6"/>
      <c r="DA94" s="565" t="s">
        <v>443</v>
      </c>
      <c r="DB94" s="565"/>
      <c r="DC94" s="565"/>
      <c r="DD94" s="565"/>
      <c r="DE94" s="6"/>
      <c r="DF94" s="6"/>
      <c r="DG94" s="6"/>
      <c r="DH94" s="6"/>
      <c r="DI94" s="6"/>
      <c r="DJ94" s="6"/>
      <c r="DK94" s="241"/>
      <c r="DL94" s="440"/>
      <c r="DM94" s="410" t="s">
        <v>660</v>
      </c>
      <c r="DN94" s="441" t="str">
        <f>IF(AND('CT Worksheet'!B33="Ozone",F12&lt;&gt;""),1,"")</f>
        <v/>
      </c>
      <c r="DO94" s="7"/>
    </row>
    <row r="95" spans="1:119" ht="13.5" thickBot="1" x14ac:dyDescent="0.25">
      <c r="A95" s="28" t="s">
        <v>92</v>
      </c>
      <c r="B95" s="6" t="str">
        <f>IF(B94="","",IF(B94&gt;=2,B94-1,1))</f>
        <v/>
      </c>
      <c r="C95" s="6"/>
      <c r="D95" s="6"/>
      <c r="E95" s="6"/>
      <c r="F95" s="22"/>
      <c r="G95" s="6"/>
      <c r="H95" s="6"/>
      <c r="I95" s="45" t="e">
        <f>CONCATENATE(VLOOKUP(B99,CL2Category,2,FALSE)," mg/l")</f>
        <v>#N/A</v>
      </c>
      <c r="J95" s="61" t="str">
        <f>IF(OR(F12="",E103=""),"",HLOOKUP(E103,CTtable,B99+1,FALSE))</f>
        <v/>
      </c>
      <c r="K95" s="42" t="str">
        <f>IF(OR(F12="",D103=""),"",HLOOKUP(D103,CTtable,B99+1,FALSE))</f>
        <v/>
      </c>
      <c r="L95" s="62" t="str">
        <f>IF(OR(F12="",E104=""),"",HLOOKUP(E104,CTtable,B99+1,FALSE))</f>
        <v/>
      </c>
      <c r="M95" s="72" t="str">
        <f>IF(OR(F12="",D104=""),"",HLOOKUP(D104,CTtable,B99+1,FALSE))</f>
        <v/>
      </c>
      <c r="N95" s="22"/>
      <c r="O95" s="63" t="str">
        <f>IF(OR(J95="",L95=""),"",L95-((L95-J95)*C94))</f>
        <v/>
      </c>
      <c r="P95" s="64" t="str">
        <f>IF(OR(M95="",M95=""),"",M95-((M95-K95)*C94))</f>
        <v/>
      </c>
      <c r="Q95" s="65" t="str">
        <f>IF(OR(P95="",O95=""),"",P95-((P95-O95)*C92))</f>
        <v/>
      </c>
      <c r="R95" s="22"/>
      <c r="S95" s="65" t="str">
        <f>IF(OR(Q100="",Q95=""),"",Q100-((Q100-Q95)*C96))</f>
        <v/>
      </c>
      <c r="T95" s="66" t="str">
        <f>IF(OR(S96="",S95=""),"",S96-((S96-S95)*C98))</f>
        <v/>
      </c>
      <c r="U95" s="7"/>
      <c r="V95" s="28"/>
      <c r="W95" s="58">
        <v>0.6</v>
      </c>
      <c r="X95" s="75" t="str">
        <f>IF(E103="","",HLOOKUP(E103,CTtable,3,FALSE))</f>
        <v/>
      </c>
      <c r="Y95" s="22" t="str">
        <f>IF(D103="","",HLOOKUP(D103,CTtable,3,FALSE))</f>
        <v/>
      </c>
      <c r="Z95" s="75" t="str">
        <f>IF(E104="","",HLOOKUP(E104,CTtable,3,FALSE))</f>
        <v/>
      </c>
      <c r="AA95" s="73" t="str">
        <f>IF(D104="","",HLOOKUP(D104,CTtable,3,FALSE))</f>
        <v/>
      </c>
      <c r="AB95" s="75" t="str">
        <f>IF(E105="","",HLOOKUP(E105,CTtable,3,FALSE))</f>
        <v/>
      </c>
      <c r="AC95" s="22" t="str">
        <f>IF(D105="","",HLOOKUP(D105,CTtable,3,FALSE))</f>
        <v/>
      </c>
      <c r="AD95" s="75" t="str">
        <f>IF(E106="","",HLOOKUP(E106,CTtable,3,FALSE))</f>
        <v/>
      </c>
      <c r="AE95" s="73" t="str">
        <f>IF($D$106="","",HLOOKUP($D$106,CTtable,3,FALSE))</f>
        <v/>
      </c>
      <c r="AF95" s="6"/>
      <c r="AG95" s="78" t="str">
        <f t="shared" ref="AG95:AG107" si="39">IF(OR(X95="",Z95=""),"",Z95-((Z95-X95)*pH5fraction))</f>
        <v/>
      </c>
      <c r="AH95" s="79" t="str">
        <f t="shared" ref="AH95:AH107" si="40">IF(OR(Y95="",AA95=""),"",AA95-((AA95-Y95)*pH5fraction))</f>
        <v/>
      </c>
      <c r="AI95" s="78" t="str">
        <f t="shared" ref="AI95:AI107" si="41">IF(OR(AB95="",AD95=""),"",AD95-((AD95-AB95)*pH5fraction))</f>
        <v/>
      </c>
      <c r="AJ95" s="79" t="str">
        <f t="shared" ref="AJ95:AJ107" si="42">IF(OR(AC95="",AE95=""),"",AE95-((AE95-AC95)*pH5fraction))</f>
        <v/>
      </c>
      <c r="AK95" s="22"/>
      <c r="AL95" s="100" t="str">
        <f t="shared" si="37"/>
        <v/>
      </c>
      <c r="AM95" s="101" t="str">
        <f t="shared" si="38"/>
        <v/>
      </c>
      <c r="AN95" s="91" t="str">
        <f t="shared" ref="AN95:AN107" si="43">IF(OR(AL95="",AM95=""),"",AM95-((AM95-AL95)*logIfraction))</f>
        <v/>
      </c>
      <c r="AO95" s="7"/>
      <c r="AQ95" s="28" t="s">
        <v>461</v>
      </c>
      <c r="AR95" s="6" t="str">
        <f>IF(AR94="","",IF(AR94&gt;=2,AR94-1,IF(logVirusR&lt;2,0,1)))</f>
        <v/>
      </c>
      <c r="AS95" s="6"/>
      <c r="AT95" s="6"/>
      <c r="AU95" s="6"/>
      <c r="AV95" s="565" t="s">
        <v>443</v>
      </c>
      <c r="AW95" s="565"/>
      <c r="AX95" s="565"/>
      <c r="AY95" s="565"/>
      <c r="AZ95" s="6"/>
      <c r="BA95" s="6"/>
      <c r="BB95" s="6"/>
      <c r="BC95" s="6"/>
      <c r="BD95" s="6"/>
      <c r="BE95" s="6"/>
      <c r="BF95" s="7"/>
      <c r="BH95" s="235" t="s">
        <v>494</v>
      </c>
      <c r="BI95" s="239" t="str">
        <f>IF(BI94="","",IF(BI94&gt;=2,BI94-1,IF(logGiardiaR&lt;0.5,0,1)))</f>
        <v/>
      </c>
      <c r="BJ95" s="12"/>
      <c r="BK95" s="12"/>
      <c r="BL95" s="12"/>
      <c r="BM95" s="619" t="s">
        <v>495</v>
      </c>
      <c r="BN95" s="619"/>
      <c r="BO95" s="240"/>
      <c r="BP95" s="241" t="s">
        <v>497</v>
      </c>
      <c r="BQ95" s="241"/>
      <c r="BR95" s="81" t="s">
        <v>58</v>
      </c>
      <c r="BS95" s="236"/>
      <c r="BT95" s="12"/>
      <c r="BU95" s="235" t="s">
        <v>505</v>
      </c>
      <c r="BV95" s="239" t="str">
        <f>IF(BV94="","",IF(BV94&gt;=2,BV94-1,IF(logGiardiaR&lt;0.5,0,1)))</f>
        <v/>
      </c>
      <c r="BW95" s="12"/>
      <c r="BX95" s="12"/>
      <c r="BY95" s="12"/>
      <c r="BZ95" s="619" t="s">
        <v>495</v>
      </c>
      <c r="CA95" s="619"/>
      <c r="CB95" s="240"/>
      <c r="CC95" s="241" t="s">
        <v>497</v>
      </c>
      <c r="CD95" s="241"/>
      <c r="CE95" s="81" t="s">
        <v>58</v>
      </c>
      <c r="CF95" s="236"/>
      <c r="CG95" s="234"/>
      <c r="CH95" s="235" t="s">
        <v>522</v>
      </c>
      <c r="CI95" s="239" t="str">
        <f>IF(CI94="","",IF(CI94&gt;=2,CI94-1,IF(logGiardiaR&lt;0.5,0,1)))</f>
        <v/>
      </c>
      <c r="CJ95" s="12"/>
      <c r="CK95" s="12"/>
      <c r="CL95" s="12"/>
      <c r="CM95" s="619" t="s">
        <v>495</v>
      </c>
      <c r="CN95" s="619"/>
      <c r="CO95" s="240"/>
      <c r="CP95" s="241" t="s">
        <v>497</v>
      </c>
      <c r="CQ95" s="241"/>
      <c r="CR95" s="81" t="s">
        <v>58</v>
      </c>
      <c r="CS95" s="236"/>
      <c r="CU95" s="28" t="s">
        <v>74</v>
      </c>
      <c r="CV95" s="12" t="str">
        <f>IF(CV94="","",IF(CV94=0,0,IF(CV94&gt;=2,CV94-1,1)))</f>
        <v/>
      </c>
      <c r="CW95" s="12"/>
      <c r="CX95" s="6"/>
      <c r="CY95" s="6"/>
      <c r="CZ95" s="6"/>
      <c r="DA95" s="22" t="e">
        <f>CONCATENATE(HLOOKUP(CX103,MicrocystinTable,2,FALSE)," ",'CT Tables'!$B$161)</f>
        <v>#N/A</v>
      </c>
      <c r="DB95" s="67" t="e">
        <f>CONCATENATE(HLOOKUP(CW103,MicrocystinTable,2,FALSE)," ",'CT Tables'!$B$161)</f>
        <v>#N/A</v>
      </c>
      <c r="DC95" s="60" t="e">
        <f>CONCATENATE(HLOOKUP(CX104,MicrocystinTable,2,FALSE)," ",'CT Tables'!$B$161)</f>
        <v>#N/A</v>
      </c>
      <c r="DD95" s="67" t="e">
        <f>CONCATENATE(HLOOKUP(CW104,MicrocystinTable,2,FALSE)," ",'CT Tables'!$B$161)</f>
        <v>#N/A</v>
      </c>
      <c r="DE95" s="6"/>
      <c r="DF95" s="22" t="e">
        <f>DA95</f>
        <v>#N/A</v>
      </c>
      <c r="DG95" s="22" t="e">
        <f>DB95</f>
        <v>#N/A</v>
      </c>
      <c r="DH95" s="24" t="str">
        <f>CONCATENATE(MicrocystinR," ug/l")</f>
        <v xml:space="preserve"> ug/l</v>
      </c>
      <c r="DI95" s="6"/>
      <c r="DJ95" s="24" t="str">
        <f>CONCATENATE('CT Worksheet'!C32,'CT Worksheet'!D32)</f>
        <v/>
      </c>
      <c r="DK95" s="241"/>
      <c r="DL95" s="440"/>
      <c r="DM95" s="241"/>
      <c r="DN95" s="241"/>
      <c r="DO95" s="7"/>
    </row>
    <row r="96" spans="1:119" ht="13.5" thickBot="1" x14ac:dyDescent="0.25">
      <c r="A96" s="28" t="s">
        <v>95</v>
      </c>
      <c r="B96" s="6" t="str">
        <f>IF(Temp5="","",IF(Temp5&lt;=0,"",IF(Temp5&lt;=0.5,1,IF(Temp5&lt;=5,2,IF(Temp5&lt;=10,3,IF(Temp5&lt;=15,4,IF(Temp5&lt;=20,5,6)))))))</f>
        <v/>
      </c>
      <c r="C96" s="44">
        <f>IF(B97=6,0,IF(B96=2,((5-Temp5)/4.5),IF(B96=3,((10-Temp5)/5),IF(B96=4,((15-Temp5)/5),IF(B96=5,((20-Temp5)/5),IF(B96=6,((25-Temp5)/5),0))))))</f>
        <v>0</v>
      </c>
      <c r="D96" s="6"/>
      <c r="E96" s="6"/>
      <c r="F96" s="22"/>
      <c r="G96" s="6"/>
      <c r="H96" s="6"/>
      <c r="I96" s="45" t="e">
        <f>CONCATENATE(VLOOKUP(B98,CL2Category,2,FALSE)," mg/l")</f>
        <v>#N/A</v>
      </c>
      <c r="J96" s="67" t="str">
        <f>IF(OR(F12="",E103=""),"",HLOOKUP(E103,CTtable,IF(B98=15,B98,B98+1),FALSE))</f>
        <v/>
      </c>
      <c r="K96" s="59" t="str">
        <f>IF(OR(F12="",D103=""),"",HLOOKUP(D103,CTtable,IF(B98=15,B98,B98+1),FALSE))</f>
        <v/>
      </c>
      <c r="L96" s="68" t="str">
        <f>IF(OR(F12="",E104=""),"",HLOOKUP(E104,CTtable,IF(B98=15,B98,B98+1),FALSE))</f>
        <v/>
      </c>
      <c r="M96" s="74" t="str">
        <f>IF(OR(F12="",D104=""),"",HLOOKUP(D104,CTtable,IF(B98=15,B98,B98+1),FALSE))</f>
        <v/>
      </c>
      <c r="N96" s="22"/>
      <c r="O96" s="69" t="str">
        <f>IF(OR(J96="",L96=""),"",L96-((L96-J96)*C94))</f>
        <v/>
      </c>
      <c r="P96" s="70" t="str">
        <f>IF(OR(M96="",M96=""),"",M96-((M96-K96)*C94))</f>
        <v/>
      </c>
      <c r="Q96" s="71" t="str">
        <f>IF(OR(P96="",O96=""),"",P96-((P96-O96)*C92))</f>
        <v/>
      </c>
      <c r="R96" s="22"/>
      <c r="S96" s="71" t="str">
        <f>IF(OR(Q101="",Q96=""),"",Q101-((Q101-Q96)*C96))</f>
        <v/>
      </c>
      <c r="T96" s="22"/>
      <c r="U96" s="7"/>
      <c r="V96" s="28"/>
      <c r="W96" s="58">
        <v>0.8</v>
      </c>
      <c r="X96" s="75" t="str">
        <f>IF(E103="","",HLOOKUP(E103,CTtable,4,FALSE))</f>
        <v/>
      </c>
      <c r="Y96" s="22" t="str">
        <f>IF(D103="","",HLOOKUP(D103,CTtable,4,FALSE))</f>
        <v/>
      </c>
      <c r="Z96" s="75" t="str">
        <f>IF(E104="","",HLOOKUP(E104,CTtable,4,FALSE))</f>
        <v/>
      </c>
      <c r="AA96" s="73" t="str">
        <f>IF(D104="","",HLOOKUP(D104,CTtable,4,FALSE))</f>
        <v/>
      </c>
      <c r="AB96" s="75" t="str">
        <f>IF(E105="","",HLOOKUP(E105,CTtable,4,FALSE))</f>
        <v/>
      </c>
      <c r="AC96" s="22" t="str">
        <f>IF(D105="","",HLOOKUP(D105,CTtable,4,FALSE))</f>
        <v/>
      </c>
      <c r="AD96" s="75" t="str">
        <f>IF(E106="","",HLOOKUP(E106,CTtable,4,FALSE))</f>
        <v/>
      </c>
      <c r="AE96" s="73" t="str">
        <f>IF($D$106="","",HLOOKUP($D$106,CTtable,4,FALSE))</f>
        <v/>
      </c>
      <c r="AF96" s="6"/>
      <c r="AG96" s="78" t="str">
        <f t="shared" si="39"/>
        <v/>
      </c>
      <c r="AH96" s="79" t="str">
        <f t="shared" si="40"/>
        <v/>
      </c>
      <c r="AI96" s="78" t="str">
        <f t="shared" si="41"/>
        <v/>
      </c>
      <c r="AJ96" s="79" t="str">
        <f t="shared" si="42"/>
        <v/>
      </c>
      <c r="AK96" s="22"/>
      <c r="AL96" s="100" t="str">
        <f t="shared" si="37"/>
        <v/>
      </c>
      <c r="AM96" s="101" t="str">
        <f t="shared" si="38"/>
        <v/>
      </c>
      <c r="AN96" s="91" t="str">
        <f t="shared" si="43"/>
        <v/>
      </c>
      <c r="AO96" s="7"/>
      <c r="AQ96" s="28" t="s">
        <v>519</v>
      </c>
      <c r="AR96" s="6" t="str">
        <f>IF(pH_5="","",IF(pH_5&lt;=9,1,IF(pH_5&lt;=10,2,3)))</f>
        <v/>
      </c>
      <c r="AS96" s="44">
        <f>IF(AR96=2,((10-pH_5)/1),0)</f>
        <v>0</v>
      </c>
      <c r="AT96" s="6"/>
      <c r="AU96" s="6"/>
      <c r="AV96" s="22" t="e">
        <f>HLOOKUP(AT102,VirusCTtable,2,FALSE)</f>
        <v>#N/A</v>
      </c>
      <c r="AW96" s="67" t="e">
        <f>HLOOKUP(AS102,VirusCTtable,2,FALSE)</f>
        <v>#N/A</v>
      </c>
      <c r="AX96" s="60" t="e">
        <f>HLOOKUP(AT103,VirusCTtable,2,FALSE)</f>
        <v>#N/A</v>
      </c>
      <c r="AY96" s="67" t="e">
        <f>HLOOKUP(AS103,VirusCTtable,2,FALSE)</f>
        <v>#N/A</v>
      </c>
      <c r="AZ96" s="6"/>
      <c r="BA96" s="22" t="e">
        <f>AV96</f>
        <v>#N/A</v>
      </c>
      <c r="BB96" s="22" t="e">
        <f>AW96</f>
        <v>#N/A</v>
      </c>
      <c r="BC96" s="24" t="str">
        <f>CONCATENATE('CT Worksheet'!S4,"-log")</f>
        <v>-log</v>
      </c>
      <c r="BD96" s="6"/>
      <c r="BE96" s="24" t="str">
        <f>CONCATENATE('CT Worksheet'!C32,'CT Worksheet'!D32)</f>
        <v/>
      </c>
      <c r="BF96" s="7"/>
      <c r="BH96" s="235" t="s">
        <v>491</v>
      </c>
      <c r="BI96" s="237" t="str">
        <f>IF(OR(logVirusR="",'CT Worksheet'!B33&lt;&gt;"Chlorine Dioxide"),"",IF(logVirusR&lt;=2,1,IF(logVirusR&lt;=3,2,IF(logVirusR&lt;=4,3,4))))</f>
        <v/>
      </c>
      <c r="BJ96" s="190">
        <f>IF(BI96=2,(3-logVirusR)/1,IF(BI96=3,(4-logVirusR)/1,IF(BI97=0,(2-logVirusR)/2,0)))</f>
        <v>0</v>
      </c>
      <c r="BK96" s="12"/>
      <c r="BL96" s="12"/>
      <c r="BM96" s="81" t="e">
        <f>HLOOKUP(BI95,ClOgTable,2,FALSE)</f>
        <v>#N/A</v>
      </c>
      <c r="BN96" s="81" t="e">
        <f>HLOOKUP(BI94,ClOgTable,2,FALSE)</f>
        <v>#N/A</v>
      </c>
      <c r="BO96" s="81"/>
      <c r="BP96" s="211" t="str">
        <f>CONCATENATE(logGiardiaR,"-log")</f>
        <v>-log</v>
      </c>
      <c r="BQ96" s="12"/>
      <c r="BR96" s="211" t="str">
        <f>CONCATENATE('CT Worksheet'!C32,'CT Worksheet'!D32)</f>
        <v/>
      </c>
      <c r="BS96" s="242"/>
      <c r="BT96" s="234"/>
      <c r="BU96" s="235" t="s">
        <v>506</v>
      </c>
      <c r="BV96" s="237" t="str">
        <f>IF(OR(logVirusR="",'CT Worksheet'!B33&lt;&gt;"Ozone"),"",IF(logVirusR&lt;=2,1,IF(logVirusR&lt;=3,2,IF(logVirusR&lt;=4,3,4))))</f>
        <v/>
      </c>
      <c r="BW96" s="190">
        <f>IF(BV96=2,(3-logVirusR)/1,IF(BV96=3,(4-logVirusR)/1,IF(BV97=0,(2-logVirusR)/2,0)))</f>
        <v>0</v>
      </c>
      <c r="BX96" s="12"/>
      <c r="BY96" s="12"/>
      <c r="BZ96" s="81" t="e">
        <f>HLOOKUP(BV95,O3gTable,2,FALSE)</f>
        <v>#N/A</v>
      </c>
      <c r="CA96" s="81" t="e">
        <f>HLOOKUP(BV94,O3gTable,2,FALSE)</f>
        <v>#N/A</v>
      </c>
      <c r="CB96" s="81"/>
      <c r="CC96" s="211" t="str">
        <f>CONCATENATE(logGiardiaR,"-log")</f>
        <v>-log</v>
      </c>
      <c r="CD96" s="12"/>
      <c r="CE96" s="211" t="str">
        <f>CONCATENATE('CT Worksheet'!C32,'CT Worksheet'!D32)</f>
        <v/>
      </c>
      <c r="CF96" s="242"/>
      <c r="CG96" s="234"/>
      <c r="CH96" s="235" t="s">
        <v>509</v>
      </c>
      <c r="CI96" s="237" t="str">
        <f>IF(OR(logVirusR="",'CT Worksheet'!B33&lt;&gt;"Chloramine"),"",IF(logVirusR&lt;=2,1,IF(logVirusR&lt;=3,2,IF(logVirusR&lt;=4,3,4))))</f>
        <v/>
      </c>
      <c r="CJ96" s="190">
        <f>IF(CI96=2,(3-logVirusR)/1,IF(CI96=3,(4-logVirusR)/1,IF(CI97=0,(2-logVirusR)/2,0)))</f>
        <v>0</v>
      </c>
      <c r="CK96" s="12"/>
      <c r="CL96" s="12"/>
      <c r="CM96" s="81" t="e">
        <f>HLOOKUP(CI95,ChloramineTableG,2,FALSE)</f>
        <v>#N/A</v>
      </c>
      <c r="CN96" s="81" t="e">
        <f>HLOOKUP(CI94,ChloramineTableG,2,FALSE)</f>
        <v>#N/A</v>
      </c>
      <c r="CO96" s="81"/>
      <c r="CP96" s="211" t="str">
        <f>CONCATENATE(logGiardiaR,"-log")</f>
        <v>-log</v>
      </c>
      <c r="CQ96" s="12"/>
      <c r="CR96" s="211" t="str">
        <f>CONCATENATE('CT Worksheet'!C11,'CT Worksheet'!D11)</f>
        <v/>
      </c>
      <c r="CS96" s="242"/>
      <c r="CU96" s="28" t="s">
        <v>71</v>
      </c>
      <c r="CV96" s="12" t="str">
        <f>IF(Temp5="","",IF(Temp5&lt;=0,"",IF(Temp5&lt;=10,1,IF(Temp5&lt;=15,2,IF(Temp5&lt;=20,3,4)))))</f>
        <v/>
      </c>
      <c r="CW96" s="190">
        <f>IF(CV97=4,0,IF(Temp5&gt;25,0,IF(CV96=2,((15-Temp5)/5),IF(CV96=3,((20-Temp5)/5),IF(CV96=4,((25-Temp5)/5),0)))))</f>
        <v>0</v>
      </c>
      <c r="CX96" s="6"/>
      <c r="CY96" s="6"/>
      <c r="CZ96" s="45" t="e">
        <f>CONCATENATE(VLOOKUP(CV97,MicrocystinTable,2,FALSE)," C")</f>
        <v>#N/A</v>
      </c>
      <c r="DA96" s="145" t="str">
        <f>IF(OR(F12="",CX103=""),"",HLOOKUP(CX103,MicrocystinTable,CV97+2,FALSE))</f>
        <v/>
      </c>
      <c r="DB96" s="61" t="str">
        <f>IF(OR(F12="",CW103=""),"",HLOOKUP(CW103,MicrocystinTable,CV97+2,FALSE))</f>
        <v/>
      </c>
      <c r="DC96" s="62" t="str">
        <f>IF(OR(F12="",CX104=""),"",HLOOKUP(CX104,MicrocystinTable,CV97+2,FALSE))</f>
        <v/>
      </c>
      <c r="DD96" s="434" t="str">
        <f>IF(OR(F12="",CW104=""),"",HLOOKUP(CW104,MicrocystinTable,CV97+2,FALSE))</f>
        <v/>
      </c>
      <c r="DE96" s="6"/>
      <c r="DF96" s="219" t="str">
        <f>IF(OR(DA96="",DC96=""),"",DC96-((DC96-DA96)*CW94))</f>
        <v/>
      </c>
      <c r="DG96" s="176" t="str">
        <f>IF(OR(DD96="",DD96=""),"",DD96-((DD96-DB96)*CW94))</f>
        <v/>
      </c>
      <c r="DH96" s="177" t="str">
        <f>IF(OR(DG96="",DF96=""),"",DG96-((DG96-DF96)*CW92))</f>
        <v/>
      </c>
      <c r="DI96" s="22"/>
      <c r="DJ96" s="182" t="str">
        <f>IF(OR(DH96="",DH97=""),"",DH97-((DH97-DH96)*CW96))</f>
        <v/>
      </c>
      <c r="DK96" s="241"/>
      <c r="DL96" s="440"/>
      <c r="DM96" s="241"/>
      <c r="DN96" s="241"/>
      <c r="DO96" s="7"/>
    </row>
    <row r="97" spans="1:119" ht="13.5" thickBot="1" x14ac:dyDescent="0.25">
      <c r="A97" s="28" t="s">
        <v>96</v>
      </c>
      <c r="B97" s="6" t="str">
        <f>IF(B96="","",IF(Temp5&gt;=25,6,IF(B96&gt;=2,B96-1,1)))</f>
        <v/>
      </c>
      <c r="C97" s="6"/>
      <c r="D97" s="6"/>
      <c r="E97" s="6"/>
      <c r="F97" s="22"/>
      <c r="G97" s="6"/>
      <c r="H97" s="40"/>
      <c r="I97" s="6"/>
      <c r="J97" s="566" t="e">
        <f>CONCATENATE("pH ",HLOOKUP(D103,CTtable,17,FALSE),", ",HLOOKUP(D103,CTtable,18,FALSE),"C")</f>
        <v>#N/A</v>
      </c>
      <c r="K97" s="567"/>
      <c r="L97" s="568" t="e">
        <f>CONCATENATE("pH ",HLOOKUP(D104,CTtable,17,FALSE),", ",HLOOKUP(D104,CTtable,18,FALSE),"C")</f>
        <v>#N/A</v>
      </c>
      <c r="M97" s="566"/>
      <c r="N97" s="22"/>
      <c r="O97" s="613" t="e">
        <f>CONCATENATE("pH ",'CT Worksheet'!C34,", ",HLOOKUP(D103,CTtable,18,FALSE),"C")</f>
        <v>#N/A</v>
      </c>
      <c r="P97" s="613"/>
      <c r="Q97" s="613"/>
      <c r="R97" s="22"/>
      <c r="S97" s="22"/>
      <c r="T97" s="22"/>
      <c r="U97" s="7"/>
      <c r="V97" s="28"/>
      <c r="W97" s="58">
        <v>1</v>
      </c>
      <c r="X97" s="75" t="str">
        <f>IF(E103="","",HLOOKUP(E103,CTtable,5,FALSE))</f>
        <v/>
      </c>
      <c r="Y97" s="22" t="str">
        <f>IF(D103="","",HLOOKUP(D103,CTtable,5,FALSE))</f>
        <v/>
      </c>
      <c r="Z97" s="75" t="str">
        <f>IF(E104="","",HLOOKUP(E104,CTtable,5,FALSE))</f>
        <v/>
      </c>
      <c r="AA97" s="73" t="str">
        <f>IF(D104="","",HLOOKUP(D104,CTtable,5,FALSE))</f>
        <v/>
      </c>
      <c r="AB97" s="75" t="str">
        <f>IF(E105="","",HLOOKUP(E105,CTtable,5,FALSE))</f>
        <v/>
      </c>
      <c r="AC97" s="22" t="str">
        <f>IF(D105="","",HLOOKUP(D105,CTtable,5,FALSE))</f>
        <v/>
      </c>
      <c r="AD97" s="75" t="str">
        <f>IF(E106="","",HLOOKUP(E106,CTtable,5,FALSE))</f>
        <v/>
      </c>
      <c r="AE97" s="73" t="str">
        <f>IF($D$106="","",HLOOKUP($D$106,CTtable,5,FALSE))</f>
        <v/>
      </c>
      <c r="AF97" s="6"/>
      <c r="AG97" s="78" t="str">
        <f t="shared" si="39"/>
        <v/>
      </c>
      <c r="AH97" s="79" t="str">
        <f t="shared" si="40"/>
        <v/>
      </c>
      <c r="AI97" s="78" t="str">
        <f t="shared" si="41"/>
        <v/>
      </c>
      <c r="AJ97" s="79" t="str">
        <f t="shared" si="42"/>
        <v/>
      </c>
      <c r="AK97" s="22"/>
      <c r="AL97" s="100" t="str">
        <f t="shared" si="37"/>
        <v/>
      </c>
      <c r="AM97" s="101" t="str">
        <f t="shared" si="38"/>
        <v/>
      </c>
      <c r="AN97" s="91" t="str">
        <f t="shared" si="43"/>
        <v/>
      </c>
      <c r="AO97" s="7"/>
      <c r="AQ97" s="28" t="s">
        <v>520</v>
      </c>
      <c r="AR97" s="6" t="str">
        <f>IF(AR96="","",IF(AR96&gt;=2,AR96-1,1))</f>
        <v/>
      </c>
      <c r="AS97" s="6"/>
      <c r="AT97" s="6"/>
      <c r="AU97" s="45" t="e">
        <f>CONCATENATE(VLOOKUP(AR99,VirusCTtable,2,FALSE)," C")</f>
        <v>#N/A</v>
      </c>
      <c r="AV97" s="145" t="str">
        <f>IF(OR(F12="",AT102=""),"",HLOOKUP(AT102,VirusCTtable,AR99+2,FALSE))</f>
        <v/>
      </c>
      <c r="AW97" s="61" t="str">
        <f>IF(OR(F12="",AS102=""),"",HLOOKUP(AS102,VirusCTtable,AR99+2,FALSE))</f>
        <v/>
      </c>
      <c r="AX97" s="62" t="str">
        <f>IF(OR(F12="",AT103=""),"",HLOOKUP(AT103,VirusCTtable,AR99+2,FALSE))</f>
        <v/>
      </c>
      <c r="AY97" s="172" t="str">
        <f>IF(OR(F12="",AS103=""),"",HLOOKUP(AS103,VirusCTtable,AR99+2,FALSE))</f>
        <v/>
      </c>
      <c r="AZ97" s="6"/>
      <c r="BA97" s="175" t="str">
        <f>IF(OR(AV97="",AX97=""),"",AX97-((AX97-AV97)*AS96))</f>
        <v/>
      </c>
      <c r="BB97" s="176" t="str">
        <f>IF(OR(AY97="",AY97=""),"",AY97-((AY97-AW97)*AS96))</f>
        <v/>
      </c>
      <c r="BC97" s="177" t="str">
        <f>IF(OR(BB97="",BA97=""),"",BB97-((BB97-BA97)*AS94))</f>
        <v/>
      </c>
      <c r="BD97" s="22"/>
      <c r="BE97" s="182" t="str">
        <f>IF(OR(BC97="",BC98=""),"",BC98-((BC98-BC97)*AS98))</f>
        <v/>
      </c>
      <c r="BF97" s="7"/>
      <c r="BH97" s="235" t="s">
        <v>492</v>
      </c>
      <c r="BI97" s="237" t="str">
        <f>IF(BI96="","",IF(BI96&gt;=2,BI96-1,IF(logVirusR&lt;2,0,1)))</f>
        <v/>
      </c>
      <c r="BJ97" s="12"/>
      <c r="BK97" s="12"/>
      <c r="BL97" s="243" t="e">
        <f>CONCATENATE(VLOOKUP(BI100,ClOgTable,2,FALSE)," C")</f>
        <v>#N/A</v>
      </c>
      <c r="BM97" s="244" t="str">
        <f>IF(OR(F12="",BI95=""),"",HLOOKUP(BI95,ClOgTable,BI100+2,FALSE))</f>
        <v/>
      </c>
      <c r="BN97" s="244" t="str">
        <f>IF(OR(F12="",BI94=""),"",HLOOKUP(BI94,ClOgTable,BI100+2,FALSE))</f>
        <v/>
      </c>
      <c r="BO97" s="81"/>
      <c r="BP97" s="219" t="str">
        <f>IF(OR(BN97="",BM97=""),"",BN97-((BN97-BM97)*BJ94))</f>
        <v/>
      </c>
      <c r="BQ97" s="12"/>
      <c r="BR97" s="182" t="str">
        <f>IF(OR(BP97="",BP98=""),"",BP98-((BP98-BP97)*BJ99))</f>
        <v/>
      </c>
      <c r="BS97" s="222"/>
      <c r="BT97" s="234"/>
      <c r="BU97" s="235" t="s">
        <v>507</v>
      </c>
      <c r="BV97" s="237" t="str">
        <f>IF(BV96="","",IF(BV96&gt;=2,BV96-1,IF(logVirusR&lt;2,0,1)))</f>
        <v/>
      </c>
      <c r="BW97" s="12"/>
      <c r="BX97" s="12"/>
      <c r="BY97" s="243" t="e">
        <f>CONCATENATE(VLOOKUP(BV100,ClOgTable,2,FALSE)," C")</f>
        <v>#N/A</v>
      </c>
      <c r="BZ97" s="244" t="str">
        <f>IF(OR(F12="",BV95=""),"",HLOOKUP(BV95,O3gTable,BV100+2,FALSE))</f>
        <v/>
      </c>
      <c r="CA97" s="244" t="str">
        <f>IF(OR(F12="",BV94=""),"",HLOOKUP(BV94,O3gTable,BV100+2,FALSE))</f>
        <v/>
      </c>
      <c r="CB97" s="81"/>
      <c r="CC97" s="219" t="str">
        <f>IF(OR(CA97="",BZ97=""),"",CA97-((CA97-BZ97)*BW94))</f>
        <v/>
      </c>
      <c r="CD97" s="12"/>
      <c r="CE97" s="182" t="str">
        <f>IF(OR(CC97="",CC98=""),"",CC98-((CC98-CC97)*BW99))</f>
        <v/>
      </c>
      <c r="CF97" s="222"/>
      <c r="CG97" s="234"/>
      <c r="CH97" s="235" t="s">
        <v>510</v>
      </c>
      <c r="CI97" s="237" t="str">
        <f>IF(CI96="","",IF(CI96&gt;=2,CI96-1,IF(logVirusR&lt;2,0,1)))</f>
        <v/>
      </c>
      <c r="CJ97" s="12"/>
      <c r="CK97" s="12"/>
      <c r="CL97" s="243" t="e">
        <f>CONCATENATE(VLOOKUP(CI100,ChloramineTableG,2,FALSE)," C")</f>
        <v>#N/A</v>
      </c>
      <c r="CM97" s="244" t="str">
        <f>IF(OR(F12="",CI95="",'CT Worksheet'!C34&gt;9),"",HLOOKUP(CI95,ChloramineTableG,CI100+2,FALSE))</f>
        <v/>
      </c>
      <c r="CN97" s="244" t="str">
        <f>IF(OR(F12="",CI94="",'CT Worksheet'!C34&gt;9),"",HLOOKUP(CI94,ChloramineTableG,CI100+2,FALSE))</f>
        <v/>
      </c>
      <c r="CO97" s="81"/>
      <c r="CP97" s="219" t="str">
        <f>IF(OR(CN97="",CM97=""),"",CN97-((CN97-CM97)*CJ94))</f>
        <v/>
      </c>
      <c r="CQ97" s="12"/>
      <c r="CR97" s="182" t="str">
        <f>IF(OR(CP97="",CP98=""),"",CP98-((CP98-CP97)*CJ99))</f>
        <v/>
      </c>
      <c r="CS97" s="222"/>
      <c r="CU97" s="28" t="s">
        <v>85</v>
      </c>
      <c r="CV97" s="12" t="str">
        <f>IF(CV96="","",IF(Temp2&gt;=25,4,IF(CV96&gt;=2,CV96-1,1)))</f>
        <v/>
      </c>
      <c r="CW97" s="12"/>
      <c r="CX97" s="6"/>
      <c r="CY97" s="6"/>
      <c r="CZ97" s="45" t="e">
        <f>CONCATENATE(VLOOKUP(CV96,MicrocystinTable,2,FALSE)," C")</f>
        <v>#N/A</v>
      </c>
      <c r="DA97" s="61" t="str">
        <f>IF(OR(F12="",CX103=""),"",HLOOKUP(CX103,MicrocystinTable,CV96+2,FALSE))</f>
        <v/>
      </c>
      <c r="DB97" s="61" t="str">
        <f>IF(OR(F12="",CW103=""),"",HLOOKUP(CW103,MicrocystinTable,CV96+2,FALSE))</f>
        <v/>
      </c>
      <c r="DC97" s="173" t="str">
        <f>IF(OR(F12="",CX104=""),"",HLOOKUP(CX104,MicrocystinTable,CV96+2,FALSE))</f>
        <v/>
      </c>
      <c r="DD97" s="145" t="str">
        <f>IF(OR(F12="",CW104=""),"",HLOOKUP(CW104,MicrocystinTable,CV96+2,FALSE))</f>
        <v/>
      </c>
      <c r="DE97" s="6"/>
      <c r="DF97" s="220" t="str">
        <f>IF(OR(DA97="",DC97=""),"",DC97-((DC97-DA97)*CW94))</f>
        <v/>
      </c>
      <c r="DG97" s="179" t="str">
        <f>IF(OR(DD97="",DD97=""),"",DD97-((DD97-DB97)*CW94))</f>
        <v/>
      </c>
      <c r="DH97" s="180" t="str">
        <f>IF(OR(DG97="",DF97=""),"",DG97-((DG97-DF97)*CW92))</f>
        <v/>
      </c>
      <c r="DI97" s="22"/>
      <c r="DJ97" s="181"/>
      <c r="DK97" s="241"/>
      <c r="DL97" s="440"/>
      <c r="DM97" s="241"/>
      <c r="DN97" s="241"/>
      <c r="DO97" s="7"/>
    </row>
    <row r="98" spans="1:119" ht="13.5" thickBot="1" x14ac:dyDescent="0.25">
      <c r="A98" s="28" t="s">
        <v>101</v>
      </c>
      <c r="B98" s="6" t="str">
        <f>IF(B100&lt;&gt;"",B100,IF(B101=15,14,B101))</f>
        <v/>
      </c>
      <c r="C98" s="44" t="str">
        <f>IF(C100="",C101,C100)</f>
        <v/>
      </c>
      <c r="D98" s="6"/>
      <c r="E98" s="6"/>
      <c r="F98" s="22"/>
      <c r="G98" s="6"/>
      <c r="H98" s="40"/>
      <c r="I98" s="6"/>
      <c r="J98" s="22"/>
      <c r="K98" s="22"/>
      <c r="L98" s="22"/>
      <c r="M98" s="22"/>
      <c r="N98" s="22"/>
      <c r="O98" s="22"/>
      <c r="P98" s="22"/>
      <c r="Q98" s="22"/>
      <c r="R98" s="22"/>
      <c r="S98" s="22"/>
      <c r="T98" s="22"/>
      <c r="U98" s="7"/>
      <c r="V98" s="28"/>
      <c r="W98" s="58">
        <v>1.2</v>
      </c>
      <c r="X98" s="75" t="str">
        <f>IF(E103="","",HLOOKUP(E103,CTtable,6,FALSE))</f>
        <v/>
      </c>
      <c r="Y98" s="22" t="str">
        <f>IF(D103="","",HLOOKUP(D103,CTtable,6,FALSE))</f>
        <v/>
      </c>
      <c r="Z98" s="75" t="str">
        <f>IF(E104="","",HLOOKUP(E104,CTtable,6,FALSE))</f>
        <v/>
      </c>
      <c r="AA98" s="73" t="str">
        <f>IF(D104="","",HLOOKUP(D104,CTtable,6,FALSE))</f>
        <v/>
      </c>
      <c r="AB98" s="75" t="str">
        <f>IF(E105="","",HLOOKUP(E105,CTtable,6,FALSE))</f>
        <v/>
      </c>
      <c r="AC98" s="22" t="str">
        <f>IF(D105="","",HLOOKUP(D105,CTtable,6,FALSE))</f>
        <v/>
      </c>
      <c r="AD98" s="75" t="str">
        <f>IF(E106="","",HLOOKUP(E106,CTtable,6,FALSE))</f>
        <v/>
      </c>
      <c r="AE98" s="73" t="str">
        <f>IF($D$106="","",HLOOKUP($D$106,CTtable,6,FALSE))</f>
        <v/>
      </c>
      <c r="AF98" s="6"/>
      <c r="AG98" s="78" t="str">
        <f t="shared" si="39"/>
        <v/>
      </c>
      <c r="AH98" s="79" t="str">
        <f t="shared" si="40"/>
        <v/>
      </c>
      <c r="AI98" s="78" t="str">
        <f t="shared" si="41"/>
        <v/>
      </c>
      <c r="AJ98" s="79" t="str">
        <f t="shared" si="42"/>
        <v/>
      </c>
      <c r="AK98" s="22"/>
      <c r="AL98" s="100" t="str">
        <f t="shared" si="37"/>
        <v/>
      </c>
      <c r="AM98" s="101" t="str">
        <f t="shared" si="38"/>
        <v/>
      </c>
      <c r="AN98" s="91" t="str">
        <f t="shared" si="43"/>
        <v/>
      </c>
      <c r="AO98" s="7"/>
      <c r="AQ98" s="28" t="s">
        <v>95</v>
      </c>
      <c r="AR98" s="12" t="str">
        <f>IF(Temp5="","",IF(Temp5&lt;=0,"",IF(Temp5&lt;=1,1,IF(Temp5&lt;=5,2,IF(Temp5&lt;=10,3,IF(Temp5&lt;=15,4,IF(Temp5&lt;=20,5,6)))))))</f>
        <v/>
      </c>
      <c r="AS98" s="190">
        <f>IF(AR99=6,0,IF(AR98=2,((5-Temp5)/4),IF(AR98=3,((10-Temp5)/5),IF(AR98=4,((15-Temp5)/5),IF(AR98=5,((20-Temp5)/5),IF(AR98=6,((25-Temp5)/5),0))))))</f>
        <v>0</v>
      </c>
      <c r="AT98" s="6"/>
      <c r="AU98" s="45" t="e">
        <f>CONCATENATE(VLOOKUP(AR98,VirusCTtable,2,FALSE)," C")</f>
        <v>#N/A</v>
      </c>
      <c r="AV98" s="61" t="str">
        <f>IF(OR(F12="",AT102=""),"",HLOOKUP(AT102,VirusCTtable,AR98+2,FALSE))</f>
        <v/>
      </c>
      <c r="AW98" s="61" t="str">
        <f>IF(OR(F12="",AS102=""),"",HLOOKUP(AS102,VirusCTtable,AR98+2,FALSE))</f>
        <v/>
      </c>
      <c r="AX98" s="173" t="str">
        <f>IF(OR(F12="",AT103=""),"",HLOOKUP(AT103,VirusCTtable,AR98+2,FALSE))</f>
        <v/>
      </c>
      <c r="AY98" s="174" t="str">
        <f>IF(OR(F12="",AS103=""),"",HLOOKUP(AS103,VirusCTtable,AR98+2,FALSE))</f>
        <v/>
      </c>
      <c r="AZ98" s="6"/>
      <c r="BA98" s="178" t="str">
        <f>IF(OR(AV98="",AX98=""),"",AX98-((AX98-AV98)*AS96))</f>
        <v/>
      </c>
      <c r="BB98" s="179" t="str">
        <f>IF(OR(AY98="",AY98=""),"",AY98-((AY98-AW98)*AS96))</f>
        <v/>
      </c>
      <c r="BC98" s="180" t="str">
        <f>IF(OR(BB98="",BA98=""),"",BB98-((BB98-BA98)*AS94))</f>
        <v/>
      </c>
      <c r="BD98" s="22"/>
      <c r="BE98" s="181"/>
      <c r="BF98" s="7"/>
      <c r="BH98" s="235"/>
      <c r="BI98" s="12"/>
      <c r="BJ98" s="190"/>
      <c r="BK98" s="12"/>
      <c r="BL98" s="243" t="e">
        <f>CONCATENATE(VLOOKUP(BI99,ClOgTable,2,FALSE)," C")</f>
        <v>#N/A</v>
      </c>
      <c r="BM98" s="244" t="str">
        <f>IF(OR(F12="",BI95=""),"",HLOOKUP(BI95,ClOgTable,BI99+2,FALSE))</f>
        <v/>
      </c>
      <c r="BN98" s="244" t="str">
        <f>IF(OR(F12="",BI94=""),"",HLOOKUP(BI94,ClOgTable,BI99+2,FALSE))</f>
        <v/>
      </c>
      <c r="BO98" s="81"/>
      <c r="BP98" s="220" t="str">
        <f>IF(OR(BN98="",BM98=""),"",BN98-((BN98-BM98)*BJ94))</f>
        <v/>
      </c>
      <c r="BQ98" s="12"/>
      <c r="BR98" s="181"/>
      <c r="BS98" s="222"/>
      <c r="BT98" s="234"/>
      <c r="BU98" s="235"/>
      <c r="BV98" s="12"/>
      <c r="BW98" s="190"/>
      <c r="BX98" s="12"/>
      <c r="BY98" s="243" t="e">
        <f>CONCATENATE(VLOOKUP(BV99,ClOgTable,2,FALSE)," C")</f>
        <v>#N/A</v>
      </c>
      <c r="BZ98" s="244" t="str">
        <f>IF(OR(F12="",BV95=""),"",HLOOKUP(BV95,O3gTable,BV99+2,FALSE))</f>
        <v/>
      </c>
      <c r="CA98" s="244" t="str">
        <f>IF(OR(F12="",BV94=""),"",HLOOKUP(BV94,O3gTable,BV99+2,FALSE))</f>
        <v/>
      </c>
      <c r="CB98" s="81"/>
      <c r="CC98" s="220" t="str">
        <f>IF(OR(CA98="",BZ98=""),"",CA98-((CA98-BZ98)*BW94))</f>
        <v/>
      </c>
      <c r="CD98" s="12"/>
      <c r="CE98" s="181"/>
      <c r="CF98" s="222"/>
      <c r="CG98" s="234"/>
      <c r="CH98" s="235"/>
      <c r="CI98" s="12"/>
      <c r="CJ98" s="190"/>
      <c r="CK98" s="12"/>
      <c r="CL98" s="243" t="e">
        <f>CONCATENATE(VLOOKUP(CI99,ChloramineTableG,2,FALSE)," C")</f>
        <v>#N/A</v>
      </c>
      <c r="CM98" s="244" t="str">
        <f>IF(OR(F12="",CI95="",'CT Worksheet'!C34&gt;9),"",HLOOKUP(CI95,ChloramineTableG,CI99+2,FALSE))</f>
        <v/>
      </c>
      <c r="CN98" s="244" t="str">
        <f>IF(OR(F12="",CI94="",'CT Worksheet'!C34&gt;9),"",HLOOKUP(CI94,ChloramineTableG,CI99+2,FALSE))</f>
        <v/>
      </c>
      <c r="CO98" s="81"/>
      <c r="CP98" s="220" t="str">
        <f>IF(OR(CN98="",CM98=""),"",CN98-((CN98-CM98)*CJ94))</f>
        <v/>
      </c>
      <c r="CQ98" s="12"/>
      <c r="CR98" s="181"/>
      <c r="CS98" s="222"/>
      <c r="CU98" s="235"/>
      <c r="CV98" s="12"/>
      <c r="CW98" s="190"/>
      <c r="CX98" s="6"/>
      <c r="CY98" s="6"/>
      <c r="CZ98" s="6"/>
      <c r="DA98" s="566" t="str">
        <f>IF(CV95="","",IF(CV95=1,CONCATENATE("pH ",6),IF(CV95=2,CONCATENATE("pH ",7),IF(CV95=3,CONCATENATE("pH ",8),CONCATENATE("pH ",9)))))</f>
        <v/>
      </c>
      <c r="DB98" s="567"/>
      <c r="DC98" s="568" t="str">
        <f>IF(CV94="","",IF(CV94=1,CONCATENATE("pH ",6),IF(CV94=2,CONCATENATE("pH ",7),IF(CV94=3,CONCATENATE("pH ",8),CONCATENATE("pH ",9)))))</f>
        <v/>
      </c>
      <c r="DD98" s="566"/>
      <c r="DE98" s="6"/>
      <c r="DF98" s="569" t="str">
        <f>CONCATENATE("pH ",'CT Worksheet'!C34)</f>
        <v xml:space="preserve">pH </v>
      </c>
      <c r="DG98" s="569"/>
      <c r="DH98" s="569"/>
      <c r="DI98" s="6"/>
      <c r="DJ98" s="6"/>
      <c r="DK98" s="241"/>
      <c r="DL98" s="440"/>
      <c r="DM98" s="241"/>
      <c r="DN98" s="241"/>
      <c r="DO98" s="7"/>
    </row>
    <row r="99" spans="1:119" ht="13.5" thickBot="1" x14ac:dyDescent="0.25">
      <c r="A99" s="28" t="s">
        <v>102</v>
      </c>
      <c r="B99" s="6" t="str">
        <f>IF(B98="","",IF(B101=15,14,IF(B98&gt;=2,B98-1,1)))</f>
        <v/>
      </c>
      <c r="C99" s="6"/>
      <c r="D99" s="6"/>
      <c r="E99" s="6"/>
      <c r="F99" s="22"/>
      <c r="G99" s="6"/>
      <c r="H99" s="6"/>
      <c r="I99" s="6"/>
      <c r="J99" s="608" t="str">
        <f>CONCATENATE("CT Table ",F105)</f>
        <v xml:space="preserve">CT Table </v>
      </c>
      <c r="K99" s="609"/>
      <c r="L99" s="614" t="str">
        <f>CONCATENATE("CT Table ",F106)</f>
        <v xml:space="preserve">CT Table </v>
      </c>
      <c r="M99" s="615"/>
      <c r="N99" s="22"/>
      <c r="O99" s="22"/>
      <c r="P99" s="22"/>
      <c r="Q99" s="22"/>
      <c r="R99" s="22"/>
      <c r="S99" s="22"/>
      <c r="T99" s="22"/>
      <c r="U99" s="7"/>
      <c r="V99" s="28"/>
      <c r="W99" s="58">
        <v>1.4</v>
      </c>
      <c r="X99" s="75" t="str">
        <f>IF(E103="","",HLOOKUP(E103,CTtable,7,FALSE))</f>
        <v/>
      </c>
      <c r="Y99" s="22" t="str">
        <f>IF(D103="","",HLOOKUP(D103,CTtable,7,FALSE))</f>
        <v/>
      </c>
      <c r="Z99" s="75" t="str">
        <f>IF(E104="","",HLOOKUP(E104,CTtable,7,FALSE))</f>
        <v/>
      </c>
      <c r="AA99" s="73" t="str">
        <f>IF(D104="","",HLOOKUP(D104,CTtable,7,FALSE))</f>
        <v/>
      </c>
      <c r="AB99" s="75" t="str">
        <f>IF(E105="","",HLOOKUP(E105,CTtable,7,FALSE))</f>
        <v/>
      </c>
      <c r="AC99" s="22" t="str">
        <f>IF(D105="","",HLOOKUP(D105,CTtable,7,FALSE))</f>
        <v/>
      </c>
      <c r="AD99" s="75" t="str">
        <f>IF(E106="","",HLOOKUP(E106,CTtable,7,FALSE))</f>
        <v/>
      </c>
      <c r="AE99" s="73" t="str">
        <f>IF($D$106="","",HLOOKUP($D$106,CTtable,7,FALSE))</f>
        <v/>
      </c>
      <c r="AF99" s="6"/>
      <c r="AG99" s="78" t="str">
        <f t="shared" si="39"/>
        <v/>
      </c>
      <c r="AH99" s="79" t="str">
        <f t="shared" si="40"/>
        <v/>
      </c>
      <c r="AI99" s="78" t="str">
        <f t="shared" si="41"/>
        <v/>
      </c>
      <c r="AJ99" s="79" t="str">
        <f t="shared" si="42"/>
        <v/>
      </c>
      <c r="AK99" s="22"/>
      <c r="AL99" s="100" t="str">
        <f t="shared" si="37"/>
        <v/>
      </c>
      <c r="AM99" s="101" t="str">
        <f t="shared" si="38"/>
        <v/>
      </c>
      <c r="AN99" s="91" t="str">
        <f t="shared" si="43"/>
        <v/>
      </c>
      <c r="AO99" s="7"/>
      <c r="AQ99" s="28" t="s">
        <v>96</v>
      </c>
      <c r="AR99" s="12" t="str">
        <f>IF(AR98="","",IF(Temp5&gt;=25,6,IF(AR98&gt;=2,AR98-1,1)))</f>
        <v/>
      </c>
      <c r="AS99" s="12"/>
      <c r="AT99" s="6"/>
      <c r="AU99" s="6"/>
      <c r="AV99" s="566" t="str">
        <f>IF(AR97=1,"pH 6-9",IF(AR97=2,"pH 10",""))</f>
        <v/>
      </c>
      <c r="AW99" s="567"/>
      <c r="AX99" s="568" t="str">
        <f>IF(AR96=1,"pH 6-9",IF(AR96=2,"pH 10",""))</f>
        <v/>
      </c>
      <c r="AY99" s="566"/>
      <c r="AZ99" s="6"/>
      <c r="BA99" s="569" t="str">
        <f>CONCATENATE("pH ",'CT Worksheet'!C34)</f>
        <v xml:space="preserve">pH </v>
      </c>
      <c r="BB99" s="569"/>
      <c r="BC99" s="569"/>
      <c r="BD99" s="6"/>
      <c r="BE99" s="6"/>
      <c r="BF99" s="7"/>
      <c r="BH99" s="235" t="s">
        <v>95</v>
      </c>
      <c r="BI99" s="12" t="str">
        <f>IF(Temp5="","",IF(Temp5&lt;=0,"",IF(Temp5&lt;=1,1,IF(Temp5&lt;=5,2,IF(Temp5&lt;=10,3,IF(Temp5&lt;=15,4,IF(Temp5&lt;=20,5,6)))))))</f>
        <v/>
      </c>
      <c r="BJ99" s="190">
        <f>IF(BI100=6,0,IF(BI99=2,((5-Temp5)/4),IF(BI99=3,((10-Temp5)/5),IF(BI99=4,((15-Temp5)/5),IF(BI99=5,((20-Temp5)/5),IF(BI99=6,((25-Temp5)/5),0))))))</f>
        <v>0</v>
      </c>
      <c r="BK99" s="12"/>
      <c r="BL99" s="12"/>
      <c r="BM99" s="245"/>
      <c r="BN99" s="245"/>
      <c r="BO99" s="240" t="str">
        <f>IF(BI98=1,"pH 6-9",IF(BI98=2,"pH 10",""))</f>
        <v/>
      </c>
      <c r="BP99" s="240"/>
      <c r="BQ99" s="12"/>
      <c r="BR99" s="246"/>
      <c r="BS99" s="247"/>
      <c r="BT99" s="246"/>
      <c r="BU99" s="235" t="s">
        <v>95</v>
      </c>
      <c r="BV99" s="12" t="str">
        <f>IF(Temp5="","",IF(Temp5&lt;=0,"",IF(Temp5&lt;=1,1,IF(Temp5&lt;=5,2,IF(Temp5&lt;=10,3,IF(Temp5&lt;=15,4,IF(Temp5&lt;=20,5,6)))))))</f>
        <v/>
      </c>
      <c r="BW99" s="190">
        <f>IF(BV100=6,0,IF(BV99=2,((5-Temp5)/4),IF(BV99=3,((10-Temp5)/5),IF(BV99=4,((15-Temp5)/5),IF(BV99=5,((20-Temp5)/5),IF(BV99=6,((25-Temp5)/5),0))))))</f>
        <v>0</v>
      </c>
      <c r="BX99" s="12"/>
      <c r="BY99" s="12"/>
      <c r="BZ99" s="245"/>
      <c r="CA99" s="245"/>
      <c r="CB99" s="240" t="str">
        <f>IF(BV98=1,"pH 6-9",IF(BV98=2,"pH 10",""))</f>
        <v/>
      </c>
      <c r="CC99" s="240"/>
      <c r="CD99" s="12"/>
      <c r="CE99" s="246"/>
      <c r="CF99" s="247"/>
      <c r="CG99" s="234"/>
      <c r="CH99" s="235" t="s">
        <v>95</v>
      </c>
      <c r="CI99" s="12" t="str">
        <f>IF(Temp5="","",IF(Temp5&lt;=0,"",IF(Temp5&lt;=1,1,IF(Temp5&lt;=5,2,IF(Temp5&lt;=10,3,IF(Temp5&lt;=15,4,IF(Temp5&lt;=20,5,6)))))))</f>
        <v/>
      </c>
      <c r="CJ99" s="190">
        <f>IF(CI100=6,0,IF(CI99=2,((5-Temp5)/4),IF(CI99=3,((10-Temp5)/5),IF(CI99=4,((15-Temp5)/5),IF(CI99=5,((20-Temp5)/5),IF(CI99=6,((25-Temp5)/5),0))))))</f>
        <v>0</v>
      </c>
      <c r="CK99" s="12"/>
      <c r="CL99" s="12"/>
      <c r="CM99" s="245"/>
      <c r="CN99" s="245"/>
      <c r="CO99" s="240" t="str">
        <f>IF(CI98=1,"pH 6-9",IF(CI98=2,"pH 10",""))</f>
        <v/>
      </c>
      <c r="CP99" s="240"/>
      <c r="CQ99" s="12"/>
      <c r="CR99" s="246"/>
      <c r="CS99" s="247"/>
      <c r="CU99" s="235"/>
      <c r="CV99" s="12"/>
      <c r="CW99" s="12"/>
      <c r="CX99" s="6"/>
      <c r="CY99" s="6"/>
      <c r="DA99" s="391"/>
      <c r="DB99" s="391"/>
      <c r="DC99" s="391"/>
      <c r="DD99" s="391"/>
      <c r="DK99" s="241"/>
      <c r="DL99" s="440"/>
      <c r="DM99" s="241"/>
      <c r="DN99" s="241"/>
      <c r="DO99" s="7"/>
    </row>
    <row r="100" spans="1:119" x14ac:dyDescent="0.2">
      <c r="A100" s="28" t="s">
        <v>103</v>
      </c>
      <c r="B100" s="6" t="str">
        <f>IF(DR_5="","",IF(DR_5&lt;=0.4,1,IF(DR_5&lt;=0.6,2,IF(DR_5&lt;=0.8,3,IF(DR_5&lt;=1,4,IF(DR_5&lt;=1.2,5,IF(DR_5&lt;=1.4,6,IF(DR_5&lt;=1.6,7,""))))))))</f>
        <v/>
      </c>
      <c r="C100" s="44" t="str">
        <f>IF(B100=1,0,IF(B100=2,((0.6-'CT Worksheet'!C33)/0.2),IF(B100=3,((0.8-'CT Worksheet'!C33)/0.2),IF(B100=4,((1-'CT Worksheet'!C33)/0.2),IF(B100=5,((1.2-'CT Worksheet'!C33)/0.2),IF(B100=6,((1.4-'CT Worksheet'!C33)/0.2),IF(B100=7,((1.6-'CT Worksheet'!C33)/0.2),"")))))))</f>
        <v/>
      </c>
      <c r="D100" s="6"/>
      <c r="E100" s="6"/>
      <c r="F100" s="22"/>
      <c r="G100" s="6"/>
      <c r="H100" s="40"/>
      <c r="I100" s="45" t="e">
        <f>I95</f>
        <v>#N/A</v>
      </c>
      <c r="J100" s="61" t="str">
        <f>IF(OR(F12="",E105=""),"",HLOOKUP(E105,CTtable,B99+1,FALSE))</f>
        <v/>
      </c>
      <c r="K100" s="42" t="str">
        <f>IF(OR(F12="",D105=""),"",HLOOKUP(D105,CTtable,B99+1,FALSE))</f>
        <v/>
      </c>
      <c r="L100" s="62" t="str">
        <f>IF(OR(F12="",E106=""),"",HLOOKUP(E106,CTtable,B99+1,FALSE))</f>
        <v/>
      </c>
      <c r="M100" s="72" t="str">
        <f>IF(OR(F12="",D106=""),"",HLOOKUP(D106,CTtable,B99+1,FALSE))</f>
        <v/>
      </c>
      <c r="N100" s="22"/>
      <c r="O100" s="63" t="str">
        <f>IF(OR(J100="",L100=""),"",L100-((L100-J100)*C94))</f>
        <v/>
      </c>
      <c r="P100" s="64" t="str">
        <f>IF(OR(M100="",M100=""),"",M100-((M100-K100)*C94))</f>
        <v/>
      </c>
      <c r="Q100" s="65" t="str">
        <f>IF(OR(P100="",O100=""),"",P100-((P100-O100)*C92))</f>
        <v/>
      </c>
      <c r="R100" s="22"/>
      <c r="S100" s="22"/>
      <c r="T100" s="22"/>
      <c r="U100" s="7"/>
      <c r="V100" s="28"/>
      <c r="W100" s="58">
        <v>1.6</v>
      </c>
      <c r="X100" s="75" t="str">
        <f>IF(E103="","",HLOOKUP(E103,CTtable,8,FALSE))</f>
        <v/>
      </c>
      <c r="Y100" s="22" t="str">
        <f>IF(D103="","",HLOOKUP(D103,CTtable,8,FALSE))</f>
        <v/>
      </c>
      <c r="Z100" s="75" t="str">
        <f>IF(E104="","",HLOOKUP(E104,CTtable,8,FALSE))</f>
        <v/>
      </c>
      <c r="AA100" s="73" t="str">
        <f>IF(D104="","",HLOOKUP(D104,CTtable,8,FALSE))</f>
        <v/>
      </c>
      <c r="AB100" s="75" t="str">
        <f>IF(E105="","",HLOOKUP(E105,CTtable,8,FALSE))</f>
        <v/>
      </c>
      <c r="AC100" s="22" t="str">
        <f>IF(D105="","",HLOOKUP(D105,CTtable,8,FALSE))</f>
        <v/>
      </c>
      <c r="AD100" s="75" t="str">
        <f>IF(E106="","",HLOOKUP(E106,CTtable,8,FALSE))</f>
        <v/>
      </c>
      <c r="AE100" s="73" t="str">
        <f>IF($D$106="","",HLOOKUP($D$106,CTtable,8,FALSE))</f>
        <v/>
      </c>
      <c r="AF100" s="6"/>
      <c r="AG100" s="78" t="str">
        <f t="shared" si="39"/>
        <v/>
      </c>
      <c r="AH100" s="79" t="str">
        <f t="shared" si="40"/>
        <v/>
      </c>
      <c r="AI100" s="78" t="str">
        <f t="shared" si="41"/>
        <v/>
      </c>
      <c r="AJ100" s="79" t="str">
        <f t="shared" si="42"/>
        <v/>
      </c>
      <c r="AK100" s="22"/>
      <c r="AL100" s="100" t="str">
        <f t="shared" si="37"/>
        <v/>
      </c>
      <c r="AM100" s="101" t="str">
        <f t="shared" si="38"/>
        <v/>
      </c>
      <c r="AN100" s="91" t="str">
        <f t="shared" si="43"/>
        <v/>
      </c>
      <c r="AO100" s="7"/>
      <c r="AQ100" s="28"/>
      <c r="AR100" s="6"/>
      <c r="AS100" s="6"/>
      <c r="AT100" s="6"/>
      <c r="BF100" s="7"/>
      <c r="BH100" s="235" t="s">
        <v>96</v>
      </c>
      <c r="BI100" s="12" t="str">
        <f>IF(BI99="","",IF(Temp5&gt;=25,6,IF(BI99&gt;=2,BI99-1,1)))</f>
        <v/>
      </c>
      <c r="BJ100" s="12"/>
      <c r="BK100" s="12"/>
      <c r="BL100" s="12"/>
      <c r="BM100" s="619" t="s">
        <v>443</v>
      </c>
      <c r="BN100" s="619"/>
      <c r="BO100" s="240"/>
      <c r="BP100" s="241" t="s">
        <v>497</v>
      </c>
      <c r="BQ100" s="241"/>
      <c r="BR100" s="81" t="s">
        <v>58</v>
      </c>
      <c r="BS100" s="236"/>
      <c r="BT100" s="234"/>
      <c r="BU100" s="235" t="s">
        <v>96</v>
      </c>
      <c r="BV100" s="12" t="str">
        <f>IF(BV99="","",IF(Temp5&gt;=25,6,IF(BV99&gt;=2,BV99-1,1)))</f>
        <v/>
      </c>
      <c r="BW100" s="12"/>
      <c r="BX100" s="12"/>
      <c r="BY100" s="12"/>
      <c r="BZ100" s="619" t="s">
        <v>443</v>
      </c>
      <c r="CA100" s="619"/>
      <c r="CB100" s="240"/>
      <c r="CC100" s="241" t="s">
        <v>497</v>
      </c>
      <c r="CD100" s="241"/>
      <c r="CE100" s="81" t="s">
        <v>58</v>
      </c>
      <c r="CF100" s="236"/>
      <c r="CG100" s="234"/>
      <c r="CH100" s="235" t="s">
        <v>96</v>
      </c>
      <c r="CI100" s="12" t="str">
        <f>IF(CI99="","",IF(Temp5&gt;=25,6,IF(CI99&gt;=2,CI99-1,1)))</f>
        <v/>
      </c>
      <c r="CJ100" s="12"/>
      <c r="CK100" s="12"/>
      <c r="CL100" s="12"/>
      <c r="CM100" s="12"/>
      <c r="CN100" s="12"/>
      <c r="CO100" s="12"/>
      <c r="CP100" s="12"/>
      <c r="CQ100" s="12"/>
      <c r="CR100" s="12"/>
      <c r="CS100" s="236"/>
      <c r="CU100" s="235"/>
      <c r="CV100" s="12"/>
      <c r="CW100" s="190"/>
      <c r="CX100" s="6"/>
      <c r="CY100" s="6"/>
      <c r="CZ100" s="22"/>
      <c r="DA100" s="6"/>
      <c r="DB100" s="36"/>
      <c r="DC100" s="243"/>
      <c r="DD100" s="241"/>
      <c r="DE100" s="241"/>
      <c r="DF100" s="241"/>
      <c r="DG100" s="241"/>
      <c r="DH100" s="241"/>
      <c r="DI100" s="241"/>
      <c r="DJ100" s="241"/>
      <c r="DK100" s="241"/>
      <c r="DL100" s="440"/>
      <c r="DM100" s="241"/>
      <c r="DN100" s="241"/>
      <c r="DO100" s="7"/>
    </row>
    <row r="101" spans="1:119" ht="13.5" thickBot="1" x14ac:dyDescent="0.25">
      <c r="A101" s="28" t="s">
        <v>104</v>
      </c>
      <c r="B101" s="6" t="str">
        <f>IF(OR(B100&lt;&gt;"",DR_5=""),"",IF(DR_5&lt;=1.8,8,IF(DR_5&lt;=2,9,IF(DR_5&lt;=2.2,10,IF(DR_5&lt;=2.4,11,IF(DR_5&lt;=2.6,12,IF(DR_5&lt;=2.8,13,IF('CT Worksheet'!C33&lt;=3,14,15))))))))</f>
        <v/>
      </c>
      <c r="C101" s="44" t="str">
        <f>IF(B101=8,((1.8-'CT Worksheet'!C33)/0.2),IF(B101=9,((2-'CT Worksheet'!C33)/0.2),IF(B101=10,((2.2-'CT Worksheet'!C33)/0.2),IF(B101=11,((2.4-'CT Worksheet'!C33)/0.2),IF(B101=12,((2.6-'CT Worksheet'!C33)/0.2),IF(B101=13,((2.8-'CT Worksheet'!C33)/0.2),IF(B101=14,((3-'CT Worksheet'!C33)/0.2),IF(B101=15,0,""))))))))</f>
        <v/>
      </c>
      <c r="D101" s="6"/>
      <c r="E101" s="46"/>
      <c r="F101" s="130"/>
      <c r="G101" s="6"/>
      <c r="H101" s="40"/>
      <c r="I101" s="45" t="e">
        <f>I96</f>
        <v>#N/A</v>
      </c>
      <c r="J101" s="67" t="str">
        <f>IF(OR(F12="",E105=""),"",HLOOKUP(E105,CTtable,IF(B98=15,B98,B98+1),FALSE))</f>
        <v/>
      </c>
      <c r="K101" s="59" t="str">
        <f>IF(OR(F12="",D105=""),"",HLOOKUP(D105,CTtable,IF(B98=15,B98,B98+1),FALSE))</f>
        <v/>
      </c>
      <c r="L101" s="60" t="str">
        <f>IF(OR(F12="",E106=""),"",HLOOKUP(E106,CTtable,IF(B98=15,B98,B98+1),FALSE))</f>
        <v/>
      </c>
      <c r="M101" s="73" t="str">
        <f>IF(OR(F12="",D106=""),"",HLOOKUP(D106,CTtable,IF(B98=15,B98,B98+1),FALSE))</f>
        <v/>
      </c>
      <c r="N101" s="22"/>
      <c r="O101" s="69" t="str">
        <f>IF(OR(J101="",L101=""),"",L101-((L101-J101)*C94))</f>
        <v/>
      </c>
      <c r="P101" s="70" t="str">
        <f>IF(OR(M101="",M101=""),"",M101-((M101-K101)*C94))</f>
        <v/>
      </c>
      <c r="Q101" s="71" t="str">
        <f>IF(OR(P101="",O101=""),"",P101-((P101-O101)*C92))</f>
        <v/>
      </c>
      <c r="R101" s="22"/>
      <c r="S101" s="22"/>
      <c r="T101" s="22"/>
      <c r="U101" s="7"/>
      <c r="V101" s="28"/>
      <c r="W101" s="58">
        <v>1.8</v>
      </c>
      <c r="X101" s="75" t="str">
        <f>IF(E103="","",HLOOKUP(E103,CTtable,9,FALSE))</f>
        <v/>
      </c>
      <c r="Y101" s="22" t="str">
        <f>IF(D103="","",HLOOKUP(D103,CTtable,9,FALSE))</f>
        <v/>
      </c>
      <c r="Z101" s="75" t="str">
        <f>IF(E104="","",HLOOKUP(E104,CTtable,9,FALSE))</f>
        <v/>
      </c>
      <c r="AA101" s="73" t="str">
        <f>IF(D104="","",HLOOKUP(D104,CTtable,9,FALSE))</f>
        <v/>
      </c>
      <c r="AB101" s="75" t="str">
        <f>IF(E105="","",HLOOKUP(E105,CTtable,9,FALSE))</f>
        <v/>
      </c>
      <c r="AC101" s="22" t="str">
        <f>IF(D105="","",HLOOKUP(D105,CTtable,9,FALSE))</f>
        <v/>
      </c>
      <c r="AD101" s="75" t="str">
        <f>IF(E106="","",HLOOKUP(E106,CTtable,9,FALSE))</f>
        <v/>
      </c>
      <c r="AE101" s="73" t="str">
        <f>IF($D$106="","",HLOOKUP($D$106,CTtable,9,FALSE))</f>
        <v/>
      </c>
      <c r="AF101" s="6"/>
      <c r="AG101" s="78" t="str">
        <f t="shared" si="39"/>
        <v/>
      </c>
      <c r="AH101" s="79" t="str">
        <f t="shared" si="40"/>
        <v/>
      </c>
      <c r="AI101" s="78" t="str">
        <f t="shared" si="41"/>
        <v/>
      </c>
      <c r="AJ101" s="79" t="str">
        <f t="shared" si="42"/>
        <v/>
      </c>
      <c r="AK101" s="22"/>
      <c r="AL101" s="100" t="str">
        <f t="shared" si="37"/>
        <v/>
      </c>
      <c r="AM101" s="101" t="str">
        <f t="shared" si="38"/>
        <v/>
      </c>
      <c r="AN101" s="91" t="str">
        <f t="shared" si="43"/>
        <v/>
      </c>
      <c r="AO101" s="7"/>
      <c r="AQ101" s="28"/>
      <c r="AR101" s="6"/>
      <c r="AS101" s="6"/>
      <c r="AT101" s="6"/>
      <c r="AU101" s="6"/>
      <c r="AV101" s="6"/>
      <c r="AW101" s="6"/>
      <c r="AX101" s="6"/>
      <c r="AY101" s="6"/>
      <c r="AZ101" s="6"/>
      <c r="BA101" s="6"/>
      <c r="BB101" s="6"/>
      <c r="BC101" s="6"/>
      <c r="BD101" s="6"/>
      <c r="BE101" s="6"/>
      <c r="BF101" s="7"/>
      <c r="BH101" s="235"/>
      <c r="BI101" s="12"/>
      <c r="BJ101" s="12"/>
      <c r="BK101" s="12"/>
      <c r="BL101" s="12"/>
      <c r="BM101" s="81" t="e">
        <f>HLOOKUP(BI97,ClOvTable,2,FALSE)</f>
        <v>#N/A</v>
      </c>
      <c r="BN101" s="81" t="e">
        <f>HLOOKUP(BI96,ClOvTable,2,FALSE)</f>
        <v>#N/A</v>
      </c>
      <c r="BO101" s="81"/>
      <c r="BP101" s="24" t="str">
        <f>CONCATENATE(logVirusR,"-log")</f>
        <v>-log</v>
      </c>
      <c r="BQ101" s="12"/>
      <c r="BR101" s="211" t="str">
        <f>CONCATENATE('CT Worksheet'!C32,'CT Worksheet'!D32)</f>
        <v/>
      </c>
      <c r="BS101" s="238"/>
      <c r="BT101" s="12"/>
      <c r="BU101" s="235"/>
      <c r="BV101" s="12"/>
      <c r="BW101" s="12"/>
      <c r="BX101" s="12"/>
      <c r="BY101" s="12"/>
      <c r="BZ101" s="81" t="e">
        <f>HLOOKUP(BV97,O3vTable,2,FALSE)</f>
        <v>#N/A</v>
      </c>
      <c r="CA101" s="81" t="e">
        <f>HLOOKUP(BV96,O3vTable,2,FALSE)</f>
        <v>#N/A</v>
      </c>
      <c r="CB101" s="81"/>
      <c r="CC101" s="24" t="str">
        <f>CONCATENATE(logVirusR,"-log")</f>
        <v>-log</v>
      </c>
      <c r="CD101" s="12"/>
      <c r="CE101" s="211" t="str">
        <f>CONCATENATE('CT Worksheet'!C32,'CT Worksheet'!D32)</f>
        <v/>
      </c>
      <c r="CF101" s="238"/>
      <c r="CG101" s="234"/>
      <c r="CH101" s="235"/>
      <c r="CI101" s="12"/>
      <c r="CJ101" s="12"/>
      <c r="CK101" s="12"/>
      <c r="CL101" s="12"/>
      <c r="CM101" s="12"/>
      <c r="CN101" s="12"/>
      <c r="CO101" s="12"/>
      <c r="CP101" s="622" t="s">
        <v>498</v>
      </c>
      <c r="CQ101" s="622"/>
      <c r="CR101" s="622"/>
      <c r="CS101" s="238"/>
      <c r="CU101" s="235"/>
      <c r="CV101" s="12"/>
      <c r="CW101" s="190"/>
      <c r="CX101" s="6"/>
      <c r="CY101" s="46"/>
      <c r="CZ101" s="130"/>
      <c r="DA101" s="6"/>
      <c r="DB101" s="36"/>
      <c r="DC101" s="243"/>
      <c r="DD101" s="241"/>
      <c r="DE101" s="241"/>
      <c r="DF101" s="241"/>
      <c r="DG101" s="241"/>
      <c r="DH101" s="241"/>
      <c r="DI101" s="241"/>
      <c r="DJ101" s="241"/>
      <c r="DK101" s="241"/>
      <c r="DL101" s="440"/>
      <c r="DM101" s="241"/>
      <c r="DN101" s="241"/>
      <c r="DO101" s="7"/>
    </row>
    <row r="102" spans="1:119" ht="13.5" thickBot="1" x14ac:dyDescent="0.25">
      <c r="A102" s="28"/>
      <c r="B102" s="6"/>
      <c r="C102" s="6"/>
      <c r="D102" s="6"/>
      <c r="E102" s="6"/>
      <c r="F102" s="22" t="s">
        <v>430</v>
      </c>
      <c r="G102" s="6"/>
      <c r="H102" s="6"/>
      <c r="I102" s="6"/>
      <c r="J102" s="566" t="e">
        <f>CONCATENATE("pH ",HLOOKUP(D105,CTtable,17,FALSE),", ",HLOOKUP(D105,CTtable,18,FALSE),"C")</f>
        <v>#N/A</v>
      </c>
      <c r="K102" s="567"/>
      <c r="L102" s="568" t="e">
        <f>CONCATENATE("pH ",HLOOKUP(D106,CTtable,17,FALSE),", ",HLOOKUP(D106,CTtable,18,FALSE),"C")</f>
        <v>#N/A</v>
      </c>
      <c r="M102" s="566"/>
      <c r="N102" s="6"/>
      <c r="O102" s="613" t="e">
        <f>CONCATENATE("pH ",'CT Worksheet'!C34,", ",HLOOKUP(D105,CTtable,18,FALSE),"C")</f>
        <v>#N/A</v>
      </c>
      <c r="P102" s="613"/>
      <c r="Q102" s="613"/>
      <c r="R102" s="6"/>
      <c r="S102" s="6"/>
      <c r="T102" s="6"/>
      <c r="U102" s="7"/>
      <c r="V102" s="28"/>
      <c r="W102" s="58">
        <v>2</v>
      </c>
      <c r="X102" s="75" t="str">
        <f>IF(E103="","",HLOOKUP(E103,CTtable,10,FALSE))</f>
        <v/>
      </c>
      <c r="Y102" s="22" t="str">
        <f>IF(D103="","",HLOOKUP(D103,CTtable,10,FALSE))</f>
        <v/>
      </c>
      <c r="Z102" s="75" t="str">
        <f>IF(E104="","",HLOOKUP(E104,CTtable,10,FALSE))</f>
        <v/>
      </c>
      <c r="AA102" s="73" t="str">
        <f>IF(D104="","",HLOOKUP(D104,CTtable,10,FALSE))</f>
        <v/>
      </c>
      <c r="AB102" s="75" t="str">
        <f>IF(E105="","",HLOOKUP(E105,CTtable,10,FALSE))</f>
        <v/>
      </c>
      <c r="AC102" s="22" t="str">
        <f>IF(D105="","",HLOOKUP(D105,CTtable,10,FALSE))</f>
        <v/>
      </c>
      <c r="AD102" s="75" t="str">
        <f>IF(E106="","",HLOOKUP(E106,CTtable,10,FALSE))</f>
        <v/>
      </c>
      <c r="AE102" s="73" t="str">
        <f>IF($D$106="","",HLOOKUP($D$106,CTtable,10,FALSE))</f>
        <v/>
      </c>
      <c r="AF102" s="6"/>
      <c r="AG102" s="78" t="str">
        <f t="shared" si="39"/>
        <v/>
      </c>
      <c r="AH102" s="79" t="str">
        <f t="shared" si="40"/>
        <v/>
      </c>
      <c r="AI102" s="78" t="str">
        <f t="shared" si="41"/>
        <v/>
      </c>
      <c r="AJ102" s="79" t="str">
        <f t="shared" si="42"/>
        <v/>
      </c>
      <c r="AK102" s="22"/>
      <c r="AL102" s="100" t="str">
        <f t="shared" si="37"/>
        <v/>
      </c>
      <c r="AM102" s="101" t="str">
        <f t="shared" si="38"/>
        <v/>
      </c>
      <c r="AN102" s="91" t="str">
        <f t="shared" si="43"/>
        <v/>
      </c>
      <c r="AO102" s="7"/>
      <c r="AQ102" s="183" t="s">
        <v>464</v>
      </c>
      <c r="AR102" s="35"/>
      <c r="AS102" s="42" t="str">
        <f>IF(OR(AR94="",AR97="",AR96=3),"",CONCATENATE(AR97,"-",AR94))</f>
        <v/>
      </c>
      <c r="AT102" s="72" t="str">
        <f>IF(OR(AR95="",AR97="",AR96=3),"",IF(AR95=0,0,CONCATENATE(AR97,"-",AR95)))</f>
        <v/>
      </c>
      <c r="AU102" s="6"/>
      <c r="AV102" s="6"/>
      <c r="AW102" s="6"/>
      <c r="AX102" s="6"/>
      <c r="AY102" s="6"/>
      <c r="AZ102" s="6"/>
      <c r="BA102" s="6"/>
      <c r="BB102" s="6"/>
      <c r="BC102" s="6"/>
      <c r="BD102" s="6"/>
      <c r="BE102" s="6"/>
      <c r="BF102" s="7"/>
      <c r="BH102" s="327" t="s">
        <v>608</v>
      </c>
      <c r="BI102" s="343" t="str">
        <f>IF(OR(logCryptoR="",'CT Worksheet'!B33&lt;&gt;"Chlorine Dioxide"),"",IF((logCryptoR&lt;=0.25),1,IF((logCryptoR&lt;=0.5),2,IF((logCryptoR&lt;=1),3,IF((logCryptoR&lt;=1.5),4,IF((logCryptoR&lt;=2),5,IF((logCryptoR&lt;=2.5),6,7)))))))</f>
        <v/>
      </c>
      <c r="BJ102" s="344">
        <f>IF((BI102=2),((0.5-logCryptoR)/0.25),IF((BI102=3),((1-logCryptoR)/0.5),IF((BI102=4),((1.5-logCryptoR)/0.5),IF((BI102=5),((2-logCryptoR)/0.5),IF((BI102=6),((2.5-logCryptoR)/0.5),IF((BI102=7),((3-logCryptoR)/0.5),IF((BI103=0),((0.25-logCryptoR)/0.25),0)))))))</f>
        <v>0</v>
      </c>
      <c r="BK102" s="12"/>
      <c r="BL102" s="243" t="e">
        <f>CONCATENATE(VLOOKUP(BI100,ClOvTable,2,FALSE)," C")</f>
        <v>#N/A</v>
      </c>
      <c r="BM102" s="244" t="str">
        <f>IF(OR(F12="",BI97="",'CT Worksheet'!C34&gt;9),"",HLOOKUP(BI97,ClOvTable,BI100+2,FALSE))</f>
        <v/>
      </c>
      <c r="BN102" s="244" t="str">
        <f>IF(OR(F12="",BI96="",'CT Worksheet'!C34&gt;9),"",HLOOKUP(BI96,ClOvTable,BI100+2,FALSE))</f>
        <v/>
      </c>
      <c r="BO102" s="81"/>
      <c r="BP102" s="219" t="str">
        <f>IF(OR(BN102="",BM102=""),"",BN102-((BN102-BM102)*BJ96))</f>
        <v/>
      </c>
      <c r="BQ102" s="12"/>
      <c r="BR102" s="182" t="str">
        <f>IF(OR(BP102="",BP103=""),"",BP103-((BP103-BP102)*BJ99))</f>
        <v/>
      </c>
      <c r="BS102" s="236"/>
      <c r="BT102" s="12"/>
      <c r="BU102" s="327" t="s">
        <v>619</v>
      </c>
      <c r="BV102" s="343" t="str">
        <f>IF(OR(logCryptoR="",'CT Worksheet'!B33&lt;&gt;"Ozone"),"",IF((logCryptoR&lt;=0.25),1,IF((logCryptoR&lt;=0.5),2,IF((logCryptoR&lt;=1),3,IF((logCryptoR&lt;=1.5),4,IF((logCryptoR&lt;=2),5,IF((logCryptoR&lt;=2.5),6,7)))))))</f>
        <v/>
      </c>
      <c r="BW102" s="344">
        <f>IF((BV102=2),((0.5-logCryptoR)/0.25),IF((BV102=3),((1-logCryptoR)/0.5),IF((BV102=4),((1.5-logCryptoR)/0.5),IF((BV102=5),((2-logCryptoR)/0.5),IF((BV102=6),((2.5-logCryptoR)/0.5),IF((BV102=7),((3-logCryptoR)/0.5),IF((BV103=0),((0.25-logCryptoR)/0.25),0)))))))</f>
        <v>0</v>
      </c>
      <c r="BX102" s="12"/>
      <c r="BY102" s="243" t="e">
        <f>CONCATENATE(VLOOKUP(BV100,O3gTable,2,FALSE)," C")</f>
        <v>#N/A</v>
      </c>
      <c r="BZ102" s="244" t="str">
        <f>IF(OR(F12="",BV97=""),"",HLOOKUP(BV97,O3vTable,BV100+2,FALSE))</f>
        <v/>
      </c>
      <c r="CA102" s="244" t="str">
        <f>IF(OR(F12="",BV96=""),"",HLOOKUP(BV96,O3vTable,BV100+2,FALSE))</f>
        <v/>
      </c>
      <c r="CB102" s="81"/>
      <c r="CC102" s="219" t="str">
        <f>IF(OR(CA102="",BZ102=""),"",CA102-((CA102-BZ102)*BW96))</f>
        <v/>
      </c>
      <c r="CD102" s="12"/>
      <c r="CE102" s="182" t="str">
        <f>IF(OR(CC102="",CC103=""),"",CC103-((CC103-CC102)*BW99))</f>
        <v/>
      </c>
      <c r="CF102" s="236"/>
      <c r="CG102" s="234"/>
      <c r="CH102" s="235"/>
      <c r="CI102" s="12"/>
      <c r="CJ102" s="12"/>
      <c r="CK102" s="12"/>
      <c r="CL102" s="12"/>
      <c r="CM102" s="619" t="s">
        <v>443</v>
      </c>
      <c r="CN102" s="619"/>
      <c r="CO102" s="240"/>
      <c r="CP102" s="241" t="s">
        <v>497</v>
      </c>
      <c r="CQ102" s="241"/>
      <c r="CR102" s="81" t="s">
        <v>58</v>
      </c>
      <c r="CS102" s="236"/>
      <c r="CU102" s="28"/>
      <c r="CV102" s="6"/>
      <c r="CW102" s="6"/>
      <c r="CX102" s="6"/>
      <c r="CY102" s="12"/>
      <c r="CZ102" s="81"/>
      <c r="DA102" s="6"/>
      <c r="DB102" s="12"/>
      <c r="DC102" s="12"/>
      <c r="DD102" s="241"/>
      <c r="DE102" s="241"/>
      <c r="DF102" s="241"/>
      <c r="DG102" s="241"/>
      <c r="DH102" s="241"/>
      <c r="DI102" s="241"/>
      <c r="DJ102" s="241"/>
      <c r="DK102" s="241"/>
      <c r="DL102" s="440"/>
      <c r="DM102" s="241"/>
      <c r="DN102" s="241"/>
      <c r="DO102" s="7"/>
    </row>
    <row r="103" spans="1:119" ht="13.5" thickBot="1" x14ac:dyDescent="0.25">
      <c r="A103" s="31" t="s">
        <v>51</v>
      </c>
      <c r="B103" s="35"/>
      <c r="C103" s="35"/>
      <c r="D103" s="42" t="str">
        <f>IF(OR(B92="",B94="",B96="",B94=8),"",CONCATENATE(B97,"-",B95,"-",B92))</f>
        <v/>
      </c>
      <c r="E103" s="117" t="str">
        <f>IF((D103=""),"",IF(B93=0,0,CONCATENATE(B97,"-",B95,"-",B93)))</f>
        <v/>
      </c>
      <c r="F103" s="72" t="str">
        <f>IF(D103="","",HLOOKUP(D103,CTtable,19,FALSE))</f>
        <v/>
      </c>
      <c r="G103" s="6"/>
      <c r="H103" s="6"/>
      <c r="I103" s="6"/>
      <c r="J103" s="6"/>
      <c r="K103" s="6"/>
      <c r="L103" s="6"/>
      <c r="M103" s="6"/>
      <c r="N103" s="6"/>
      <c r="O103" s="6"/>
      <c r="P103" s="6"/>
      <c r="Q103" s="6"/>
      <c r="R103" s="6"/>
      <c r="S103" s="6"/>
      <c r="T103" s="6"/>
      <c r="U103" s="7"/>
      <c r="V103" s="28"/>
      <c r="W103" s="58">
        <v>2.2000000000000002</v>
      </c>
      <c r="X103" s="75" t="str">
        <f>IF(E103="","",HLOOKUP(E103,CTtable,11,FALSE))</f>
        <v/>
      </c>
      <c r="Y103" s="22" t="str">
        <f>IF(D103="","",HLOOKUP(D103,CTtable,11,FALSE))</f>
        <v/>
      </c>
      <c r="Z103" s="75" t="str">
        <f>IF(E104="","",HLOOKUP(E104,CTtable,11,FALSE))</f>
        <v/>
      </c>
      <c r="AA103" s="73" t="str">
        <f>IF(D104="","",HLOOKUP(D104,CTtable,11,FALSE))</f>
        <v/>
      </c>
      <c r="AB103" s="75" t="str">
        <f>IF(E105="","",HLOOKUP(E105,CTtable,11,FALSE))</f>
        <v/>
      </c>
      <c r="AC103" s="22" t="str">
        <f>IF(D105="","",HLOOKUP(D105,CTtable,11,FALSE))</f>
        <v/>
      </c>
      <c r="AD103" s="75" t="str">
        <f>IF(E106="","",HLOOKUP(E106,CTtable,11,FALSE))</f>
        <v/>
      </c>
      <c r="AE103" s="73" t="str">
        <f>IF($D$106="","",HLOOKUP($D$106,CTtable,11,FALSE))</f>
        <v/>
      </c>
      <c r="AF103" s="6"/>
      <c r="AG103" s="78" t="str">
        <f t="shared" si="39"/>
        <v/>
      </c>
      <c r="AH103" s="79" t="str">
        <f t="shared" si="40"/>
        <v/>
      </c>
      <c r="AI103" s="78" t="str">
        <f t="shared" si="41"/>
        <v/>
      </c>
      <c r="AJ103" s="79" t="str">
        <f t="shared" si="42"/>
        <v/>
      </c>
      <c r="AK103" s="22"/>
      <c r="AL103" s="100" t="str">
        <f t="shared" si="37"/>
        <v/>
      </c>
      <c r="AM103" s="101" t="str">
        <f t="shared" si="38"/>
        <v/>
      </c>
      <c r="AN103" s="91" t="str">
        <f t="shared" si="43"/>
        <v/>
      </c>
      <c r="AO103" s="7"/>
      <c r="AQ103" s="184" t="s">
        <v>465</v>
      </c>
      <c r="AR103" s="23"/>
      <c r="AS103" s="59" t="str">
        <f>IF(OR(AR94="",AR97="",AR96=3),"",CONCATENATE(AR96,"-",AR94))</f>
        <v/>
      </c>
      <c r="AT103" s="74" t="str">
        <f>IF(OR(AR96="",AR95="",AR96=3),"",IF(AR95=0,0,CONCATENATE(AR96,"-",AR95)))</f>
        <v/>
      </c>
      <c r="AU103" s="6"/>
      <c r="AV103" s="6"/>
      <c r="AW103" s="6"/>
      <c r="AX103" s="6"/>
      <c r="AY103" s="6"/>
      <c r="AZ103" s="6"/>
      <c r="BA103" s="6"/>
      <c r="BB103" s="6"/>
      <c r="BC103" s="6"/>
      <c r="BD103" s="6"/>
      <c r="BE103" s="6"/>
      <c r="BF103" s="7"/>
      <c r="BH103" s="327" t="s">
        <v>609</v>
      </c>
      <c r="BI103" s="343" t="str">
        <f>IF((BI102=""),"",IF((BI102&gt;=2),(BI102-1),IF((logCryptoR&lt;0.25),0,1)))</f>
        <v/>
      </c>
      <c r="BJ103" s="335"/>
      <c r="BK103" s="12"/>
      <c r="BL103" s="243" t="e">
        <f>CONCATENATE(VLOOKUP(BI99,ClOvTable,2,FALSE)," C")</f>
        <v>#N/A</v>
      </c>
      <c r="BM103" s="244" t="str">
        <f>IF(OR(F12="",BI97="",'CT Worksheet'!C34&gt;9),"",HLOOKUP(BI97,ClOvTable,BI99+2,FALSE))</f>
        <v/>
      </c>
      <c r="BN103" s="244" t="str">
        <f>IF(OR(F12="",BI96="",'CT Worksheet'!C34&gt;9),"",HLOOKUP(BI96,ClOvTable,BI99+2,FALSE))</f>
        <v/>
      </c>
      <c r="BO103" s="81"/>
      <c r="BP103" s="220" t="str">
        <f>IF(OR(BN103="",BM103=""),"",BN103-((BN103-BM103)*BJ96))</f>
        <v/>
      </c>
      <c r="BQ103" s="12"/>
      <c r="BR103" s="181"/>
      <c r="BS103" s="242"/>
      <c r="BT103" s="12"/>
      <c r="BU103" s="327" t="s">
        <v>620</v>
      </c>
      <c r="BV103" s="343" t="str">
        <f>IF((BV102=""),"",IF((BV102&gt;=2),(BV102-1),IF((logCryptoR&lt;0.25),0,1)))</f>
        <v/>
      </c>
      <c r="BW103" s="335"/>
      <c r="BX103" s="12"/>
      <c r="BY103" s="243" t="e">
        <f>CONCATENATE(VLOOKUP(BV99,O3gTable,2,FALSE)," C")</f>
        <v>#N/A</v>
      </c>
      <c r="BZ103" s="244" t="str">
        <f>IF(OR(F12="",BV97=""),"",HLOOKUP(BV97,O3vTable,BV99+2,FALSE))</f>
        <v/>
      </c>
      <c r="CA103" s="244" t="str">
        <f>IF(OR(F12="",BV96=""),"",HLOOKUP(BV96,O3vTable,BV99+2,FALSE))</f>
        <v/>
      </c>
      <c r="CB103" s="81"/>
      <c r="CC103" s="220" t="str">
        <f>IF(OR(CA103="",BZ103=""),"",CA103-((CA103-BZ103)*BW96))</f>
        <v/>
      </c>
      <c r="CD103" s="12"/>
      <c r="CE103" s="181"/>
      <c r="CF103" s="242"/>
      <c r="CG103" s="234"/>
      <c r="CH103" s="235"/>
      <c r="CI103" s="12"/>
      <c r="CJ103" s="12"/>
      <c r="CK103" s="12"/>
      <c r="CL103" s="12"/>
      <c r="CM103" s="81" t="e">
        <f>HLOOKUP(CI97,ChloramineTableV,2,FALSE)</f>
        <v>#N/A</v>
      </c>
      <c r="CN103" s="81" t="e">
        <f>HLOOKUP(CI96,ChloramineTableV,2,FALSE)</f>
        <v>#N/A</v>
      </c>
      <c r="CO103" s="81"/>
      <c r="CP103" s="211" t="str">
        <f>CONCATENATE(logGiardiaR,"-log")</f>
        <v>-log</v>
      </c>
      <c r="CQ103" s="12"/>
      <c r="CR103" s="211" t="str">
        <f>CONCATENATE('CT Worksheet'!C11,'CT Worksheet'!D11)</f>
        <v/>
      </c>
      <c r="CS103" s="242"/>
      <c r="CU103" s="183" t="s">
        <v>464</v>
      </c>
      <c r="CV103" s="35"/>
      <c r="CW103" s="117" t="str">
        <f>IF(OR(CV92="",CV95="",CV95=0),"",CONCATENATE(CV95,"-",CV92))</f>
        <v/>
      </c>
      <c r="CX103" s="118" t="str">
        <f>IF(OR(CV93="",CV95="",CV95=0),"",CONCATENATE(CV95,"-",CV93))</f>
        <v/>
      </c>
      <c r="CY103" s="81"/>
      <c r="CZ103" s="81"/>
      <c r="DA103" s="6"/>
      <c r="DB103" s="12"/>
      <c r="DC103" s="12"/>
      <c r="DD103" s="241"/>
      <c r="DE103" s="241"/>
      <c r="DF103" s="241"/>
      <c r="DG103" s="241"/>
      <c r="DH103" s="241"/>
      <c r="DI103" s="241"/>
      <c r="DJ103" s="241"/>
      <c r="DK103" s="241"/>
      <c r="DL103" s="440"/>
      <c r="DM103" s="241"/>
      <c r="DN103" s="241"/>
      <c r="DO103" s="7"/>
    </row>
    <row r="104" spans="1:119" ht="13.5" thickBot="1" x14ac:dyDescent="0.25">
      <c r="A104" s="1" t="s">
        <v>52</v>
      </c>
      <c r="B104" s="6"/>
      <c r="C104" s="6"/>
      <c r="D104" s="22" t="str">
        <f>IF(OR(B92="",B94="",B96="",B94=8),"",CONCATENATE(B97,"-",B94,"-",B92))</f>
        <v/>
      </c>
      <c r="E104" s="81" t="str">
        <f>IF(D104="","",IF(B93=0,0,CONCATENATE(B97,"-",B94,"-",B93)))</f>
        <v/>
      </c>
      <c r="F104" s="73" t="str">
        <f>IF(D104="","",HLOOKUP(D104,CTtable,19,FALSE))</f>
        <v/>
      </c>
      <c r="G104" s="6"/>
      <c r="H104" s="6"/>
      <c r="I104" s="6"/>
      <c r="J104" s="6"/>
      <c r="K104" s="6"/>
      <c r="L104" s="6"/>
      <c r="M104" s="6"/>
      <c r="N104" s="6"/>
      <c r="O104" s="6"/>
      <c r="P104" s="6"/>
      <c r="Q104" s="6"/>
      <c r="R104" s="6"/>
      <c r="S104" s="6"/>
      <c r="T104" s="6"/>
      <c r="U104" s="7"/>
      <c r="V104" s="28"/>
      <c r="W104" s="58">
        <v>2.4</v>
      </c>
      <c r="X104" s="75" t="str">
        <f>IF(E103="","",HLOOKUP(E103,CTtable,12,FALSE))</f>
        <v/>
      </c>
      <c r="Y104" s="22" t="str">
        <f>IF(D103="","",HLOOKUP(D103,CTtable,12,FALSE))</f>
        <v/>
      </c>
      <c r="Z104" s="75" t="str">
        <f>IF(E104="","",HLOOKUP(E104,CTtable,12,FALSE))</f>
        <v/>
      </c>
      <c r="AA104" s="73" t="str">
        <f>IF(D104="","",HLOOKUP(D104,CTtable,12,FALSE))</f>
        <v/>
      </c>
      <c r="AB104" s="75" t="str">
        <f>IF(E105="","",HLOOKUP(E105,CTtable,12,FALSE))</f>
        <v/>
      </c>
      <c r="AC104" s="22" t="str">
        <f>IF(D105="","",HLOOKUP(D105,CTtable,12,FALSE))</f>
        <v/>
      </c>
      <c r="AD104" s="75" t="str">
        <f>IF(E106="","",HLOOKUP(E106,CTtable,12,FALSE))</f>
        <v/>
      </c>
      <c r="AE104" s="73" t="str">
        <f>IF($D$106="","",HLOOKUP($D$106,CTtable,12,FALSE))</f>
        <v/>
      </c>
      <c r="AF104" s="6"/>
      <c r="AG104" s="78" t="str">
        <f t="shared" si="39"/>
        <v/>
      </c>
      <c r="AH104" s="79" t="str">
        <f t="shared" si="40"/>
        <v/>
      </c>
      <c r="AI104" s="78" t="str">
        <f t="shared" si="41"/>
        <v/>
      </c>
      <c r="AJ104" s="79" t="str">
        <f t="shared" si="42"/>
        <v/>
      </c>
      <c r="AK104" s="22"/>
      <c r="AL104" s="100" t="str">
        <f t="shared" si="37"/>
        <v/>
      </c>
      <c r="AM104" s="101" t="str">
        <f t="shared" si="38"/>
        <v/>
      </c>
      <c r="AN104" s="91" t="str">
        <f t="shared" si="43"/>
        <v/>
      </c>
      <c r="AO104" s="7"/>
      <c r="AQ104" s="28"/>
      <c r="AR104" s="6"/>
      <c r="AS104" s="6"/>
      <c r="AT104" s="6"/>
      <c r="AU104" s="6"/>
      <c r="AV104" s="6"/>
      <c r="AW104" s="6"/>
      <c r="AX104" s="6"/>
      <c r="AY104" s="6"/>
      <c r="AZ104" s="6"/>
      <c r="BA104" s="6"/>
      <c r="BB104" s="6"/>
      <c r="BC104" s="6"/>
      <c r="BD104" s="6"/>
      <c r="BE104" s="6"/>
      <c r="BF104" s="7"/>
      <c r="BH104" s="327" t="s">
        <v>610</v>
      </c>
      <c r="BI104" s="12" t="str">
        <f>IF(BI106&lt;&gt;"",BI106,IF(BI107=15,14,BI107))</f>
        <v/>
      </c>
      <c r="BJ104" s="190" t="str">
        <f>IF(BJ106="",BJ107,BJ106)</f>
        <v/>
      </c>
      <c r="BK104" s="12"/>
      <c r="BS104" s="222"/>
      <c r="BT104" s="12"/>
      <c r="BU104" s="327" t="s">
        <v>610</v>
      </c>
      <c r="BV104" s="12" t="str">
        <f>IF(BV106&lt;&gt;"",BV106,IF(BV107=15,14,BV107))</f>
        <v/>
      </c>
      <c r="BW104" s="190" t="str">
        <f>IF(BW106="",BW107,BW106)</f>
        <v/>
      </c>
      <c r="BX104" s="12"/>
      <c r="CF104" s="222"/>
      <c r="CG104" s="234"/>
      <c r="CH104" s="235"/>
      <c r="CI104" s="12"/>
      <c r="CJ104" s="12"/>
      <c r="CK104" s="12"/>
      <c r="CL104" s="243" t="e">
        <f>CONCATENATE(VLOOKUP(CI100,ChloramineTableV,2,FALSE)," C")</f>
        <v>#N/A</v>
      </c>
      <c r="CM104" s="244" t="str">
        <f>IF(OR(F12="",CI97=""),"",HLOOKUP(CI97,ChloramineTableV,CI100+2,FALSE))</f>
        <v/>
      </c>
      <c r="CN104" s="244" t="str">
        <f>IF(OR(F12="",CI96=""),"",HLOOKUP(CI96,ChloramineTableV,CI100+2,FALSE))</f>
        <v/>
      </c>
      <c r="CO104" s="81"/>
      <c r="CP104" s="219" t="str">
        <f>IF(OR(CN104="",CM104=""),"",CN104-((CN104-CM104)*CJ96))</f>
        <v/>
      </c>
      <c r="CQ104" s="12"/>
      <c r="CR104" s="182" t="str">
        <f>IF(OR(CP104="",CP105=""),"",CP105-((CP105-CP104)*CJ99))</f>
        <v/>
      </c>
      <c r="CS104" s="222"/>
      <c r="CU104" s="184" t="s">
        <v>465</v>
      </c>
      <c r="CV104" s="23"/>
      <c r="CW104" s="120" t="str">
        <f>IF(OR(CV92="",CV94="",CV94=0),"",CONCATENATE(CV94,"-",CV92))</f>
        <v/>
      </c>
      <c r="CX104" s="121" t="str">
        <f>IF(OR(CV93="",CV94="",CV94=0),"",CONCATENATE(CV94,"-",CV93))</f>
        <v/>
      </c>
      <c r="CY104" s="81"/>
      <c r="CZ104" s="81"/>
      <c r="DA104" s="6"/>
      <c r="DB104" s="12"/>
      <c r="DC104" s="12"/>
      <c r="DD104" s="241"/>
      <c r="DE104" s="241"/>
      <c r="DF104" s="241"/>
      <c r="DG104" s="241"/>
      <c r="DH104" s="241"/>
      <c r="DI104" s="241"/>
      <c r="DJ104" s="241"/>
      <c r="DK104" s="241"/>
      <c r="DL104" s="440"/>
      <c r="DM104" s="241"/>
      <c r="DN104" s="241"/>
      <c r="DO104" s="7"/>
    </row>
    <row r="105" spans="1:119" x14ac:dyDescent="0.2">
      <c r="A105" s="1" t="s">
        <v>53</v>
      </c>
      <c r="B105" s="6"/>
      <c r="C105" s="6"/>
      <c r="D105" s="22" t="str">
        <f>IF(OR(B92="",B94="",B96="",B94=8),"",CONCATENATE(B96,"-",B95,"-",B92))</f>
        <v/>
      </c>
      <c r="E105" s="81" t="str">
        <f>IF(D105="","",IF(B93=0,0,CONCATENATE(B96,"-",B95,"-",B93)))</f>
        <v/>
      </c>
      <c r="F105" s="73" t="str">
        <f>IF(D105="","",HLOOKUP(D105,CTtable,19,FALSE))</f>
        <v/>
      </c>
      <c r="G105" s="6"/>
      <c r="H105" s="6"/>
      <c r="I105" s="6"/>
      <c r="J105" s="6"/>
      <c r="K105" s="6"/>
      <c r="L105" s="6"/>
      <c r="M105" s="6"/>
      <c r="N105" s="6"/>
      <c r="O105" s="6"/>
      <c r="P105" s="6"/>
      <c r="Q105" s="6"/>
      <c r="R105" s="6"/>
      <c r="S105" s="6"/>
      <c r="T105" s="6"/>
      <c r="U105" s="7"/>
      <c r="V105" s="28"/>
      <c r="W105" s="58">
        <v>2.6</v>
      </c>
      <c r="X105" s="75" t="str">
        <f>IF(E103="","",HLOOKUP(E103,CTtable,13,FALSE))</f>
        <v/>
      </c>
      <c r="Y105" s="22" t="str">
        <f>IF(D103="","",HLOOKUP(D103,CTtable,13,FALSE))</f>
        <v/>
      </c>
      <c r="Z105" s="75" t="str">
        <f>IF(E104="","",HLOOKUP(E104,CTtable,13,FALSE))</f>
        <v/>
      </c>
      <c r="AA105" s="73" t="str">
        <f>IF(D104="","",HLOOKUP(D104,CTtable,13,FALSE))</f>
        <v/>
      </c>
      <c r="AB105" s="75" t="str">
        <f>IF(E105="","",HLOOKUP(E105,CTtable,13,FALSE))</f>
        <v/>
      </c>
      <c r="AC105" s="22" t="str">
        <f>IF(D105="","",HLOOKUP(D105,CTtable,13,FALSE))</f>
        <v/>
      </c>
      <c r="AD105" s="75" t="str">
        <f>IF(E106="","",HLOOKUP(E106,CTtable,13,FALSE))</f>
        <v/>
      </c>
      <c r="AE105" s="73" t="str">
        <f>IF($D$106="","",HLOOKUP($D$106,CTtable,13,FALSE))</f>
        <v/>
      </c>
      <c r="AF105" s="6"/>
      <c r="AG105" s="78" t="str">
        <f t="shared" si="39"/>
        <v/>
      </c>
      <c r="AH105" s="79" t="str">
        <f t="shared" si="40"/>
        <v/>
      </c>
      <c r="AI105" s="78" t="str">
        <f t="shared" si="41"/>
        <v/>
      </c>
      <c r="AJ105" s="79" t="str">
        <f t="shared" si="42"/>
        <v/>
      </c>
      <c r="AK105" s="22"/>
      <c r="AL105" s="100" t="str">
        <f t="shared" si="37"/>
        <v/>
      </c>
      <c r="AM105" s="101" t="str">
        <f t="shared" si="38"/>
        <v/>
      </c>
      <c r="AN105" s="91" t="str">
        <f t="shared" si="43"/>
        <v/>
      </c>
      <c r="AO105" s="7"/>
      <c r="AQ105" s="28"/>
      <c r="AR105" s="6"/>
      <c r="AS105" s="6"/>
      <c r="AT105" s="6"/>
      <c r="AU105" s="6"/>
      <c r="AV105" s="6"/>
      <c r="AW105" s="6"/>
      <c r="AX105" s="6"/>
      <c r="AY105" s="6"/>
      <c r="AZ105" s="6"/>
      <c r="BA105" s="6"/>
      <c r="BB105" s="6"/>
      <c r="BC105" s="6"/>
      <c r="BD105" s="6"/>
      <c r="BE105" s="6"/>
      <c r="BF105" s="7"/>
      <c r="BH105" s="327" t="s">
        <v>611</v>
      </c>
      <c r="BI105" s="12" t="str">
        <f>IF(BI104="","",IF(Temp5&gt;=30,11,IF(BI107=15,14,IF(BI104&gt;=2,BI104-1,1))))</f>
        <v/>
      </c>
      <c r="BJ105" s="335"/>
      <c r="BK105" s="12"/>
      <c r="BL105" s="335"/>
      <c r="BM105" s="581" t="s">
        <v>607</v>
      </c>
      <c r="BN105" s="581"/>
      <c r="BO105" s="335"/>
      <c r="BP105" s="336" t="s">
        <v>497</v>
      </c>
      <c r="BQ105" s="335"/>
      <c r="BR105" s="307" t="s">
        <v>58</v>
      </c>
      <c r="BS105" s="222"/>
      <c r="BT105" s="12"/>
      <c r="BU105" s="327" t="s">
        <v>611</v>
      </c>
      <c r="BV105" s="12" t="str">
        <f>IF(BV104="","",IF(Temp5&gt;=30,11,IF(BV107=15,14,IF(BV104&gt;=2,BV104-1,1))))</f>
        <v/>
      </c>
      <c r="BW105" s="335"/>
      <c r="BX105" s="12"/>
      <c r="BY105" s="335"/>
      <c r="BZ105" s="581" t="s">
        <v>607</v>
      </c>
      <c r="CA105" s="581"/>
      <c r="CB105" s="335"/>
      <c r="CC105" s="336" t="s">
        <v>497</v>
      </c>
      <c r="CD105" s="335"/>
      <c r="CE105" s="307" t="s">
        <v>58</v>
      </c>
      <c r="CF105" s="222"/>
      <c r="CG105" s="234"/>
      <c r="CH105" s="235"/>
      <c r="CI105" s="12"/>
      <c r="CJ105" s="12"/>
      <c r="CK105" s="12"/>
      <c r="CL105" s="243" t="e">
        <f>CONCATENATE(VLOOKUP(CI99,ChloramineTableV,2,FALSE)," C")</f>
        <v>#N/A</v>
      </c>
      <c r="CM105" s="244" t="str">
        <f>IF(OR(F12="",CI97=""),"",HLOOKUP(CI97,ChloramineTableV,CI99+2,FALSE))</f>
        <v/>
      </c>
      <c r="CN105" s="244" t="str">
        <f>IF(OR(F12="",CI96=""),"",HLOOKUP(CI96,ChloramineTableV,CI99+2,FALSE))</f>
        <v/>
      </c>
      <c r="CO105" s="81"/>
      <c r="CP105" s="220" t="str">
        <f>IF(OR(CN105="",CM105=""),"",CN105-((CN105-CM105)*CJ96))</f>
        <v/>
      </c>
      <c r="CQ105" s="12"/>
      <c r="CR105" s="181"/>
      <c r="CS105" s="222"/>
      <c r="CU105" s="407"/>
      <c r="CV105" s="12"/>
      <c r="CW105" s="12"/>
      <c r="CX105" s="81"/>
      <c r="CY105" s="81"/>
      <c r="CZ105" s="81"/>
      <c r="DA105" s="6"/>
      <c r="DB105" s="6"/>
      <c r="DC105" s="6"/>
      <c r="DD105" s="6"/>
      <c r="DE105" s="6"/>
      <c r="DF105" s="6"/>
      <c r="DG105" s="6"/>
      <c r="DH105" s="6"/>
      <c r="DI105" s="6"/>
      <c r="DJ105" s="6"/>
      <c r="DK105" s="6"/>
      <c r="DL105" s="28"/>
      <c r="DM105" s="6"/>
      <c r="DN105" s="6"/>
      <c r="DO105" s="7"/>
    </row>
    <row r="106" spans="1:119" ht="13.5" thickBot="1" x14ac:dyDescent="0.25">
      <c r="A106" s="33" t="s">
        <v>54</v>
      </c>
      <c r="B106" s="23"/>
      <c r="C106" s="23"/>
      <c r="D106" s="59" t="str">
        <f>IF(OR(B92="",B94="",B96="",B94=8),"",CONCATENATE(B96,"-",B94,"-",B92))</f>
        <v/>
      </c>
      <c r="E106" s="120" t="str">
        <f>IF(D106="","",IF(B93=0,0,CONCATENATE(B96,"-",B94,"-",B93)))</f>
        <v/>
      </c>
      <c r="F106" s="74" t="str">
        <f>IF(D106="","",HLOOKUP(D106,CTtable,19,FALSE))</f>
        <v/>
      </c>
      <c r="G106" s="6"/>
      <c r="H106" s="6"/>
      <c r="I106" s="6"/>
      <c r="J106" s="6"/>
      <c r="K106" s="6"/>
      <c r="L106" s="6"/>
      <c r="M106" s="6"/>
      <c r="N106" s="6"/>
      <c r="O106" s="6"/>
      <c r="P106" s="6"/>
      <c r="Q106" s="6"/>
      <c r="R106" s="6"/>
      <c r="S106" s="6"/>
      <c r="T106" s="6"/>
      <c r="U106" s="7"/>
      <c r="V106" s="28"/>
      <c r="W106" s="58">
        <v>2.8</v>
      </c>
      <c r="X106" s="75" t="str">
        <f>IF(E103="","",HLOOKUP(E103,CTtable,14,FALSE))</f>
        <v/>
      </c>
      <c r="Y106" s="22" t="str">
        <f>IF(D103="","",HLOOKUP(D103,CTtable,14,FALSE))</f>
        <v/>
      </c>
      <c r="Z106" s="75" t="str">
        <f>IF(E104="","",HLOOKUP(E104,CTtable,14,FALSE))</f>
        <v/>
      </c>
      <c r="AA106" s="73" t="str">
        <f>IF(D104="","",HLOOKUP(D104,CTtable,14,FALSE))</f>
        <v/>
      </c>
      <c r="AB106" s="75" t="str">
        <f>IF(E105="","",HLOOKUP(E105,CTtable,14,FALSE))</f>
        <v/>
      </c>
      <c r="AC106" s="22" t="str">
        <f>IF(D105="","",HLOOKUP(D105,CTtable,14,FALSE))</f>
        <v/>
      </c>
      <c r="AD106" s="75" t="str">
        <f>IF(E106="","",HLOOKUP(E106,CTtable,14,FALSE))</f>
        <v/>
      </c>
      <c r="AE106" s="73" t="str">
        <f>IF($D$106="","",HLOOKUP($D$106,CTtable,14,FALSE))</f>
        <v/>
      </c>
      <c r="AF106" s="6"/>
      <c r="AG106" s="78" t="str">
        <f t="shared" si="39"/>
        <v/>
      </c>
      <c r="AH106" s="79" t="str">
        <f t="shared" si="40"/>
        <v/>
      </c>
      <c r="AI106" s="78" t="str">
        <f t="shared" si="41"/>
        <v/>
      </c>
      <c r="AJ106" s="79" t="str">
        <f t="shared" si="42"/>
        <v/>
      </c>
      <c r="AK106" s="22"/>
      <c r="AL106" s="100" t="str">
        <f t="shared" si="37"/>
        <v/>
      </c>
      <c r="AM106" s="101" t="str">
        <f t="shared" si="38"/>
        <v/>
      </c>
      <c r="AN106" s="91" t="str">
        <f t="shared" si="43"/>
        <v/>
      </c>
      <c r="AO106" s="7"/>
      <c r="AQ106" s="28"/>
      <c r="AR106" s="6"/>
      <c r="AS106" s="6"/>
      <c r="AT106" s="6"/>
      <c r="AU106" s="6"/>
      <c r="AV106" s="6"/>
      <c r="AW106" s="6"/>
      <c r="AX106" s="6"/>
      <c r="AY106" s="6"/>
      <c r="AZ106" s="6"/>
      <c r="BA106" s="6"/>
      <c r="BB106" s="6"/>
      <c r="BC106" s="6"/>
      <c r="BD106" s="6"/>
      <c r="BE106" s="6"/>
      <c r="BF106" s="7"/>
      <c r="BH106" s="327" t="s">
        <v>614</v>
      </c>
      <c r="BI106" s="335" t="str">
        <f>IF((G12=""),"",IF((G12&lt;=0),"",IF((G12&lt;=0.5),1,IF((G12&lt;=1),2,IF((G12&lt;=2),3,IF((G12&lt;=3),4,IF((G12&lt;=5),5,IF((G12&lt;=7),6,""))))))))</f>
        <v/>
      </c>
      <c r="BJ106" s="351" t="str">
        <f>IF(BI106=1,0,IF(BI106=2,((1-G12)/0.5),IF(BI106=3,((2-G12)/1),IF(BI106=4,((3-G12)/1),IF(BI106=5,((5-G12)/2),IF(BI106=6,((7-G12)/2),""))))))</f>
        <v/>
      </c>
      <c r="BK106" s="81"/>
      <c r="BL106" s="335"/>
      <c r="BM106" s="334" t="e">
        <f>HLOOKUP(BI103,ClOcTable,2,FALSE)</f>
        <v>#N/A</v>
      </c>
      <c r="BN106" s="334" t="e">
        <f>HLOOKUP(BI102,ClOcTable,2,FALSE)</f>
        <v>#N/A</v>
      </c>
      <c r="BO106" s="335"/>
      <c r="BP106" s="337" t="str">
        <f>CONCATENATE(logCryptoR,"-log")</f>
        <v>-log</v>
      </c>
      <c r="BQ106" s="335"/>
      <c r="BR106" s="24" t="str">
        <f>CONCATENATE('CT Worksheet'!C32,'CT Worksheet'!D32)</f>
        <v/>
      </c>
      <c r="BS106" s="236"/>
      <c r="BT106" s="12"/>
      <c r="BU106" s="327" t="s">
        <v>614</v>
      </c>
      <c r="BV106" s="335" t="str">
        <f>IF((G12=""),"",IF((G12&lt;=0),"",IF((G12&lt;=0.5),1,IF((G12&lt;=1),2,IF((G12&lt;=2),3,IF((G12&lt;=3),4,IF((G12&lt;=5),5,IF((G12&lt;=7),6,""))))))))</f>
        <v/>
      </c>
      <c r="BW106" s="351" t="str">
        <f>IF(BI106=1,0,IF(BI106=2,((1-G12)/0.5),IF(BI106=3,((2-G12)/1),IF(BI106=4,((3-G12)/1),IF(BI106=5,((5-G12)/2),IF(BI106=6,((7-G12)/2),""))))))</f>
        <v/>
      </c>
      <c r="BX106" s="81"/>
      <c r="BY106" s="335"/>
      <c r="BZ106" s="334" t="e">
        <f>HLOOKUP(BV103,O3cTable,2,FALSE)</f>
        <v>#N/A</v>
      </c>
      <c r="CA106" s="334" t="e">
        <f>HLOOKUP(BV102,O3cTable,2,FALSE)</f>
        <v>#N/A</v>
      </c>
      <c r="CB106" s="335"/>
      <c r="CC106" s="337" t="str">
        <f>CONCATENATE(logCryptoR,"-log")</f>
        <v>-log</v>
      </c>
      <c r="CD106" s="335"/>
      <c r="CE106" s="378" t="str">
        <f>CONCATENATE('CT Worksheet'!C32,'CT Worksheet'!D32)</f>
        <v/>
      </c>
      <c r="CF106" s="236"/>
      <c r="CG106" s="234"/>
      <c r="CH106" s="235"/>
      <c r="CI106" s="12"/>
      <c r="CJ106" s="81"/>
      <c r="CK106" s="81"/>
      <c r="CL106" s="12"/>
      <c r="CM106" s="12"/>
      <c r="CN106" s="12"/>
      <c r="CO106" s="12"/>
      <c r="CP106" s="12"/>
      <c r="CQ106" s="12"/>
      <c r="CR106" s="12"/>
      <c r="CS106" s="236"/>
      <c r="CU106" s="235"/>
      <c r="CV106" s="12"/>
      <c r="CW106" s="12"/>
      <c r="CX106" s="81"/>
      <c r="CY106" s="81"/>
      <c r="CZ106" s="81"/>
      <c r="DA106" s="6"/>
      <c r="DB106" s="6"/>
      <c r="DC106" s="6"/>
      <c r="DD106" s="6"/>
      <c r="DE106" s="6"/>
      <c r="DF106" s="6"/>
      <c r="DG106" s="6"/>
      <c r="DH106" s="6"/>
      <c r="DI106" s="6"/>
      <c r="DJ106" s="6"/>
      <c r="DK106" s="6"/>
      <c r="DL106" s="28"/>
      <c r="DM106" s="6"/>
      <c r="DN106" s="6"/>
      <c r="DO106" s="7"/>
    </row>
    <row r="107" spans="1:119" ht="13.5" thickBot="1" x14ac:dyDescent="0.25">
      <c r="A107" s="28"/>
      <c r="B107" s="6"/>
      <c r="C107" s="6"/>
      <c r="D107" s="6"/>
      <c r="E107" s="6"/>
      <c r="F107" s="22"/>
      <c r="G107" s="6"/>
      <c r="H107" s="6"/>
      <c r="I107" s="6"/>
      <c r="J107" s="6"/>
      <c r="K107" s="6"/>
      <c r="L107" s="6"/>
      <c r="M107" s="6"/>
      <c r="N107" s="6"/>
      <c r="O107" s="6"/>
      <c r="P107" s="6"/>
      <c r="Q107" s="6"/>
      <c r="R107" s="6"/>
      <c r="S107" s="6"/>
      <c r="T107" s="6"/>
      <c r="U107" s="7"/>
      <c r="V107" s="28"/>
      <c r="W107" s="58">
        <v>3</v>
      </c>
      <c r="X107" s="67" t="str">
        <f>IF(E103="","",HLOOKUP(E103,CTtable,15,FALSE))</f>
        <v/>
      </c>
      <c r="Y107" s="59" t="str">
        <f>IF(D103="","",HLOOKUP(D103,CTtable,15,FALSE))</f>
        <v/>
      </c>
      <c r="Z107" s="67" t="str">
        <f>IF(E104="","",HLOOKUP(E104,CTtable,15,FALSE))</f>
        <v/>
      </c>
      <c r="AA107" s="74" t="str">
        <f>IF(D104="","",HLOOKUP(D104,CTtable,15,FALSE))</f>
        <v/>
      </c>
      <c r="AB107" s="67" t="str">
        <f>IF(E105="","",HLOOKUP(E105,CTtable,15,FALSE))</f>
        <v/>
      </c>
      <c r="AC107" s="59" t="str">
        <f>IF(D105="","",HLOOKUP(D105,CTtable,15,FALSE))</f>
        <v/>
      </c>
      <c r="AD107" s="67" t="str">
        <f>IF(E106="","",HLOOKUP(E106,CTtable,15,FALSE))</f>
        <v/>
      </c>
      <c r="AE107" s="74" t="str">
        <f>IF($D$106="","",HLOOKUP($D$106,CTtable,15,FALSE))</f>
        <v/>
      </c>
      <c r="AF107" s="6"/>
      <c r="AG107" s="69" t="str">
        <f t="shared" si="39"/>
        <v/>
      </c>
      <c r="AH107" s="80" t="str">
        <f t="shared" si="40"/>
        <v/>
      </c>
      <c r="AI107" s="69" t="str">
        <f t="shared" si="41"/>
        <v/>
      </c>
      <c r="AJ107" s="80" t="str">
        <f t="shared" si="42"/>
        <v/>
      </c>
      <c r="AK107" s="22"/>
      <c r="AL107" s="102" t="str">
        <f t="shared" si="37"/>
        <v/>
      </c>
      <c r="AM107" s="109" t="str">
        <f t="shared" si="38"/>
        <v/>
      </c>
      <c r="AN107" s="97" t="str">
        <f t="shared" si="43"/>
        <v/>
      </c>
      <c r="AO107" s="7"/>
      <c r="AQ107" s="28"/>
      <c r="AR107" s="6"/>
      <c r="AS107" s="6"/>
      <c r="AT107" s="6"/>
      <c r="AU107" s="6"/>
      <c r="AV107" s="6"/>
      <c r="AW107" s="6"/>
      <c r="AX107" s="6"/>
      <c r="AY107" s="6"/>
      <c r="AZ107" s="6"/>
      <c r="BA107" s="6"/>
      <c r="BB107" s="6"/>
      <c r="BC107" s="6"/>
      <c r="BD107" s="6"/>
      <c r="BE107" s="6"/>
      <c r="BF107" s="7"/>
      <c r="BH107" s="327" t="s">
        <v>615</v>
      </c>
      <c r="BI107" s="335" t="str">
        <f>IF(OR(BI106&lt;&gt;"",G12=""),"",IF((G12&lt;=10),7,IF((G12&lt;=15),8,IF((G12&lt;=20),9,IF((G12&lt;=25),10,11)))))</f>
        <v/>
      </c>
      <c r="BJ107" s="351" t="str">
        <f>IF(BI105=11,0,IF(BI107=7,((10-G12)/3),IF(BI107=8,((15-G12)/5),IF(BI107=9,((20-G12)/5),IF(BI107=10,((25-G12)/5),IF(BI107=11,((30-G12)/5),IF(BI107=12,0,"")))))))</f>
        <v/>
      </c>
      <c r="BK107" s="81"/>
      <c r="BL107" s="338" t="e">
        <f>CONCATENATE(VLOOKUP(BI105,ClOcTable,2,FALSE)," C")</f>
        <v>#N/A</v>
      </c>
      <c r="BM107" s="303" t="str">
        <f>IF(OR((F12=""),(BI103="")),"",HLOOKUP(BI103,ClOcTable,(BI105+2),FALSE))</f>
        <v/>
      </c>
      <c r="BN107" s="303" t="str">
        <f>IF(OR((F12=""),(BI102="")),"",HLOOKUP(BI102,ClOcTable,(BI105+2),FALSE))</f>
        <v/>
      </c>
      <c r="BO107" s="320"/>
      <c r="BP107" s="339" t="str">
        <f>IF(OR((BN107=""),(BM107="")),"",(BN107-((BN107-BM107)*BJ102)))</f>
        <v/>
      </c>
      <c r="BQ107" s="320"/>
      <c r="BR107" s="340" t="str">
        <f>IF(OR((BP107=""),(BP108="")),"",(BP108-((BP108-BP107)*BJ104)))</f>
        <v/>
      </c>
      <c r="BS107" s="236"/>
      <c r="BT107" s="12"/>
      <c r="BU107" s="327" t="s">
        <v>615</v>
      </c>
      <c r="BV107" s="335" t="str">
        <f>IF(OR(BI106&lt;&gt;"",G12=""),"",IF((G12&lt;=10),7,IF((G12&lt;=15),8,IF((G12&lt;=20),9,IF((G12&lt;=25),10,11)))))</f>
        <v/>
      </c>
      <c r="BW107" s="351" t="str">
        <f>IF(BV105=11,0,IF(BI107=7,((10-G12)/3),IF(BI107=8,((15-G12)/5),IF(BI107=9,((20-G12)/5),IF(BI107=10,((25-G12)/5),IF(BI107=11,((30-G12)/5),IF(BI107=12,0,"")))))))</f>
        <v/>
      </c>
      <c r="BX107" s="81"/>
      <c r="BY107" s="338" t="e">
        <f>CONCATENATE(VLOOKUP(BV105,O3cTable,2,FALSE)," C")</f>
        <v>#N/A</v>
      </c>
      <c r="BZ107" s="303" t="str">
        <f>IF(OR((F12=""),(BV103="")),"",HLOOKUP(BV103,O3cTable,(BV105+2),FALSE))</f>
        <v/>
      </c>
      <c r="CA107" s="303" t="str">
        <f>IF(OR((F12=""),(BV102="")),"",HLOOKUP(BV102,O3cTable,(BV105+2),FALSE))</f>
        <v/>
      </c>
      <c r="CB107" s="320"/>
      <c r="CC107" s="339" t="str">
        <f>IF(OR((CA107=""),(BZ107="")),"",(CA107-((CA107-BZ107)*BW102)))</f>
        <v/>
      </c>
      <c r="CD107" s="315"/>
      <c r="CE107" s="380" t="str">
        <f>IF(OR((CC107=""),(CC108="")),"",(CC108-((CC108-CC107)*BW104)))</f>
        <v/>
      </c>
      <c r="CF107" s="236"/>
      <c r="CG107" s="234"/>
      <c r="CH107" s="235"/>
      <c r="CI107" s="12"/>
      <c r="CJ107" s="81"/>
      <c r="CK107" s="81"/>
      <c r="CL107" s="12"/>
      <c r="CM107" s="12"/>
      <c r="CN107" s="12"/>
      <c r="CO107" s="12"/>
      <c r="CP107" s="12"/>
      <c r="CQ107" s="12"/>
      <c r="CR107" s="12"/>
      <c r="CS107" s="236"/>
      <c r="CU107" s="28"/>
      <c r="CV107" s="6"/>
      <c r="CW107" s="6"/>
      <c r="CX107" s="6"/>
      <c r="CY107" s="12"/>
      <c r="CZ107" s="81"/>
      <c r="DA107" s="6"/>
      <c r="DB107" s="6"/>
      <c r="DC107" s="6"/>
      <c r="DD107" s="6"/>
      <c r="DE107" s="6"/>
      <c r="DF107" s="6"/>
      <c r="DG107" s="6"/>
      <c r="DH107" s="6"/>
      <c r="DI107" s="6"/>
      <c r="DJ107" s="6"/>
      <c r="DK107" s="6"/>
      <c r="DL107" s="28"/>
      <c r="DM107" s="6"/>
      <c r="DN107" s="6"/>
      <c r="DO107" s="7"/>
    </row>
    <row r="108" spans="1:119" ht="13.5" thickBot="1" x14ac:dyDescent="0.25">
      <c r="A108" s="29"/>
      <c r="B108" s="9"/>
      <c r="C108" s="9"/>
      <c r="D108" s="9"/>
      <c r="E108" s="9"/>
      <c r="F108" s="9"/>
      <c r="G108" s="9"/>
      <c r="H108" s="9"/>
      <c r="I108" s="9"/>
      <c r="J108" s="9"/>
      <c r="K108" s="9"/>
      <c r="L108" s="9"/>
      <c r="M108" s="9"/>
      <c r="N108" s="9"/>
      <c r="O108" s="9"/>
      <c r="P108" s="9"/>
      <c r="Q108" s="9"/>
      <c r="R108" s="9"/>
      <c r="S108" s="9"/>
      <c r="T108" s="9"/>
      <c r="U108" s="10"/>
      <c r="V108" s="29"/>
      <c r="W108" s="9"/>
      <c r="X108" s="589" t="e">
        <f>J97</f>
        <v>#N/A</v>
      </c>
      <c r="Y108" s="589"/>
      <c r="Z108" s="590" t="e">
        <f>L97</f>
        <v>#N/A</v>
      </c>
      <c r="AA108" s="591"/>
      <c r="AB108" s="590" t="e">
        <f>J102</f>
        <v>#N/A</v>
      </c>
      <c r="AC108" s="591"/>
      <c r="AD108" s="589" t="e">
        <f>L102</f>
        <v>#N/A</v>
      </c>
      <c r="AE108" s="589"/>
      <c r="AF108" s="9"/>
      <c r="AG108" s="589" t="e">
        <f>O97</f>
        <v>#N/A</v>
      </c>
      <c r="AH108" s="589"/>
      <c r="AI108" s="617" t="e">
        <f>O102</f>
        <v>#N/A</v>
      </c>
      <c r="AJ108" s="589"/>
      <c r="AK108" s="159"/>
      <c r="AL108" s="602" t="str">
        <f>CONCATENATE("pH ",'CT Worksheet'!C34,", ",'CT Worksheet'!C32,'CT Worksheet'!D32)</f>
        <v xml:space="preserve">pH , </v>
      </c>
      <c r="AM108" s="602"/>
      <c r="AN108" s="602"/>
      <c r="AO108" s="10"/>
      <c r="AQ108" s="29"/>
      <c r="AR108" s="9"/>
      <c r="AS108" s="9"/>
      <c r="AT108" s="9"/>
      <c r="AU108" s="9"/>
      <c r="AV108" s="9"/>
      <c r="AW108" s="9"/>
      <c r="AX108" s="9"/>
      <c r="AY108" s="9"/>
      <c r="AZ108" s="9"/>
      <c r="BA108" s="9"/>
      <c r="BB108" s="9"/>
      <c r="BC108" s="9"/>
      <c r="BD108" s="9"/>
      <c r="BE108" s="9"/>
      <c r="BF108" s="10"/>
      <c r="BH108" s="248"/>
      <c r="BI108" s="161"/>
      <c r="BJ108" s="161"/>
      <c r="BK108" s="161"/>
      <c r="BL108" s="371" t="e">
        <f>CONCATENATE(VLOOKUP(BI104,ClOcTable,2,FALSE)," C")</f>
        <v>#N/A</v>
      </c>
      <c r="BM108" s="372" t="str">
        <f>IF(OR((F12=""),(BI103="")),"",HLOOKUP(BI103,ClOcTable,(BI104+2),FALSE))</f>
        <v/>
      </c>
      <c r="BN108" s="372" t="str">
        <f>IF(OR((F12=""),(BI102="")),"",HLOOKUP(BI102,ClOcTable,(BI104+2),FALSE))</f>
        <v/>
      </c>
      <c r="BO108" s="373"/>
      <c r="BP108" s="374" t="str">
        <f>IF(OR((BN108=""),(BM108="")),"",(BN108-((BN108-BM108)*BJ102)))</f>
        <v/>
      </c>
      <c r="BQ108" s="375"/>
      <c r="BR108" s="376"/>
      <c r="BS108" s="249"/>
      <c r="BT108" s="12"/>
      <c r="BU108" s="248"/>
      <c r="BV108" s="161"/>
      <c r="BW108" s="161"/>
      <c r="BX108" s="161"/>
      <c r="BY108" s="371" t="e">
        <f>CONCATENATE(VLOOKUP(BV104,O3cTable,2,FALSE)," C")</f>
        <v>#N/A</v>
      </c>
      <c r="BZ108" s="372" t="str">
        <f>IF(OR((F12=""),(BV103="")),"",HLOOKUP(BV103,O3cTable,(BV104+2),FALSE))</f>
        <v/>
      </c>
      <c r="CA108" s="372" t="str">
        <f>IF(OR((F12=""),(BV102="")),"",HLOOKUP(BV102,O3cTable,(BV104+2),FALSE))</f>
        <v/>
      </c>
      <c r="CB108" s="373"/>
      <c r="CC108" s="374" t="str">
        <f>IF(OR((CA108=""),(BZ108="")),"",(CA108-((CA108-BZ108)*BW102)))</f>
        <v/>
      </c>
      <c r="CD108" s="375"/>
      <c r="CE108" s="382"/>
      <c r="CF108" s="249"/>
      <c r="CG108" s="234"/>
      <c r="CH108" s="248"/>
      <c r="CI108" s="161"/>
      <c r="CJ108" s="161"/>
      <c r="CK108" s="161"/>
      <c r="CL108" s="161"/>
      <c r="CM108" s="161"/>
      <c r="CN108" s="161"/>
      <c r="CO108" s="161"/>
      <c r="CP108" s="161"/>
      <c r="CQ108" s="161"/>
      <c r="CR108" s="161"/>
      <c r="CS108" s="249"/>
      <c r="CU108" s="29"/>
      <c r="CV108" s="9"/>
      <c r="CW108" s="9"/>
      <c r="CX108" s="9"/>
      <c r="CY108" s="9"/>
      <c r="CZ108" s="9"/>
      <c r="DA108" s="9"/>
      <c r="DB108" s="9"/>
      <c r="DC108" s="9"/>
      <c r="DD108" s="9"/>
      <c r="DE108" s="9"/>
      <c r="DF108" s="9"/>
      <c r="DG108" s="9"/>
      <c r="DH108" s="9"/>
      <c r="DI108" s="9"/>
      <c r="DJ108" s="9"/>
      <c r="DK108" s="9"/>
      <c r="DL108" s="29"/>
      <c r="DM108" s="9"/>
      <c r="DN108" s="9"/>
      <c r="DO108" s="10"/>
    </row>
  </sheetData>
  <sheetProtection password="C74B" sheet="1" objects="1" scenarios="1"/>
  <mergeCells count="407">
    <mergeCell ref="O14:P14"/>
    <mergeCell ref="Q14:R14"/>
    <mergeCell ref="BP40:BR40"/>
    <mergeCell ref="BM39:BP39"/>
    <mergeCell ref="BA27:BC27"/>
    <mergeCell ref="AV27:AW27"/>
    <mergeCell ref="AX27:AY27"/>
    <mergeCell ref="BZ105:CA105"/>
    <mergeCell ref="O15:P15"/>
    <mergeCell ref="Q15:R15"/>
    <mergeCell ref="BZ93:CC93"/>
    <mergeCell ref="CC76:CE76"/>
    <mergeCell ref="BZ74:CC74"/>
    <mergeCell ref="CC58:CE58"/>
    <mergeCell ref="BZ56:CC56"/>
    <mergeCell ref="BM69:BN69"/>
    <mergeCell ref="BZ69:CA69"/>
    <mergeCell ref="AV95:AY95"/>
    <mergeCell ref="AV81:AW81"/>
    <mergeCell ref="AX81:AY81"/>
    <mergeCell ref="BA81:BC81"/>
    <mergeCell ref="AV63:AW63"/>
    <mergeCell ref="AV45:AW45"/>
    <mergeCell ref="AX45:AY45"/>
    <mergeCell ref="O12:P12"/>
    <mergeCell ref="Q12:R12"/>
    <mergeCell ref="O8:P8"/>
    <mergeCell ref="Q8:R8"/>
    <mergeCell ref="O9:P9"/>
    <mergeCell ref="Q9:R9"/>
    <mergeCell ref="O10:P10"/>
    <mergeCell ref="O13:P13"/>
    <mergeCell ref="Q13:R13"/>
    <mergeCell ref="O2:P2"/>
    <mergeCell ref="Q2:R2"/>
    <mergeCell ref="O3:P3"/>
    <mergeCell ref="O6:P6"/>
    <mergeCell ref="Q6:R6"/>
    <mergeCell ref="O7:P7"/>
    <mergeCell ref="Q7:R7"/>
    <mergeCell ref="Q10:R10"/>
    <mergeCell ref="O11:P11"/>
    <mergeCell ref="Q11:R11"/>
    <mergeCell ref="CP101:CR101"/>
    <mergeCell ref="BM100:BN100"/>
    <mergeCell ref="BZ100:CA100"/>
    <mergeCell ref="CM102:CN102"/>
    <mergeCell ref="CM93:CP93"/>
    <mergeCell ref="CP83:CR83"/>
    <mergeCell ref="BM93:BP93"/>
    <mergeCell ref="CP94:CR94"/>
    <mergeCell ref="BM95:BN95"/>
    <mergeCell ref="BZ95:CA95"/>
    <mergeCell ref="CM95:CN95"/>
    <mergeCell ref="BP94:BR94"/>
    <mergeCell ref="CC94:CE94"/>
    <mergeCell ref="CM77:CN77"/>
    <mergeCell ref="CM74:CP74"/>
    <mergeCell ref="BM75:BP75"/>
    <mergeCell ref="BZ75:CC75"/>
    <mergeCell ref="CM75:CP75"/>
    <mergeCell ref="BM82:BN82"/>
    <mergeCell ref="BZ82:CA82"/>
    <mergeCell ref="CM84:CN84"/>
    <mergeCell ref="CM92:CP92"/>
    <mergeCell ref="BM92:BP92"/>
    <mergeCell ref="BZ92:CC92"/>
    <mergeCell ref="BM87:BN87"/>
    <mergeCell ref="BZ87:CA87"/>
    <mergeCell ref="BP76:BR76"/>
    <mergeCell ref="BM74:BP74"/>
    <mergeCell ref="CP65:CR65"/>
    <mergeCell ref="BM64:BN64"/>
    <mergeCell ref="BZ64:CA64"/>
    <mergeCell ref="CM66:CN66"/>
    <mergeCell ref="CP58:CR58"/>
    <mergeCell ref="BM59:BN59"/>
    <mergeCell ref="BZ59:CA59"/>
    <mergeCell ref="CM59:CN59"/>
    <mergeCell ref="CP76:CR76"/>
    <mergeCell ref="BP58:BR58"/>
    <mergeCell ref="CP47:CR47"/>
    <mergeCell ref="BM46:BN46"/>
    <mergeCell ref="BZ46:CA46"/>
    <mergeCell ref="CM48:CN48"/>
    <mergeCell ref="CM56:CP56"/>
    <mergeCell ref="BM57:BP57"/>
    <mergeCell ref="BZ57:CC57"/>
    <mergeCell ref="CM57:CP57"/>
    <mergeCell ref="BZ51:CA51"/>
    <mergeCell ref="BM56:BP56"/>
    <mergeCell ref="CJ3:CO3"/>
    <mergeCell ref="CJ8:CO8"/>
    <mergeCell ref="CP22:CR22"/>
    <mergeCell ref="CM23:CN23"/>
    <mergeCell ref="BJ8:BO8"/>
    <mergeCell ref="CP40:CR40"/>
    <mergeCell ref="BM41:BN41"/>
    <mergeCell ref="BZ41:CA41"/>
    <mergeCell ref="CM41:CN41"/>
    <mergeCell ref="BZ39:CC39"/>
    <mergeCell ref="CM39:CP39"/>
    <mergeCell ref="BJ3:BO3"/>
    <mergeCell ref="BJ13:BO13"/>
    <mergeCell ref="CM20:CP20"/>
    <mergeCell ref="CM21:CP21"/>
    <mergeCell ref="BM20:BP20"/>
    <mergeCell ref="BM21:BP21"/>
    <mergeCell ref="BZ20:CC20"/>
    <mergeCell ref="BZ21:CC21"/>
    <mergeCell ref="CP29:CR29"/>
    <mergeCell ref="CM30:CN30"/>
    <mergeCell ref="BM38:BP38"/>
    <mergeCell ref="BZ38:CC38"/>
    <mergeCell ref="CM38:CP38"/>
    <mergeCell ref="BW3:CB3"/>
    <mergeCell ref="BW8:CB8"/>
    <mergeCell ref="AV92:AY92"/>
    <mergeCell ref="AV93:AY93"/>
    <mergeCell ref="AX63:AY63"/>
    <mergeCell ref="BA63:BC63"/>
    <mergeCell ref="AV74:AY74"/>
    <mergeCell ref="AV75:AY75"/>
    <mergeCell ref="AV77:AY77"/>
    <mergeCell ref="BA75:BB75"/>
    <mergeCell ref="BM77:BN77"/>
    <mergeCell ref="BZ77:CA77"/>
    <mergeCell ref="AV20:AY20"/>
    <mergeCell ref="AV21:AY21"/>
    <mergeCell ref="AV23:AY23"/>
    <mergeCell ref="BA21:BB21"/>
    <mergeCell ref="AV38:AY38"/>
    <mergeCell ref="AV39:AY39"/>
    <mergeCell ref="AV41:AY41"/>
    <mergeCell ref="BA93:BB93"/>
    <mergeCell ref="AV56:AY56"/>
    <mergeCell ref="AV57:AY57"/>
    <mergeCell ref="AV59:AY59"/>
    <mergeCell ref="BA57:BB57"/>
    <mergeCell ref="BA45:BC45"/>
    <mergeCell ref="BA39:BB39"/>
    <mergeCell ref="X38:Y38"/>
    <mergeCell ref="Z38:AA38"/>
    <mergeCell ref="AB38:AC38"/>
    <mergeCell ref="AD38:AE38"/>
    <mergeCell ref="AV99:AW99"/>
    <mergeCell ref="AX99:AY99"/>
    <mergeCell ref="BA99:BC99"/>
    <mergeCell ref="X92:Y92"/>
    <mergeCell ref="Z92:AA92"/>
    <mergeCell ref="AB92:AC92"/>
    <mergeCell ref="AD92:AE92"/>
    <mergeCell ref="AG90:AH90"/>
    <mergeCell ref="AI90:AJ90"/>
    <mergeCell ref="AG72:AH72"/>
    <mergeCell ref="AI72:AJ72"/>
    <mergeCell ref="X56:Y56"/>
    <mergeCell ref="Z56:AA56"/>
    <mergeCell ref="AB56:AC56"/>
    <mergeCell ref="AD56:AE56"/>
    <mergeCell ref="AL72:AN72"/>
    <mergeCell ref="X73:AE73"/>
    <mergeCell ref="AG73:AJ73"/>
    <mergeCell ref="AG108:AH108"/>
    <mergeCell ref="AI108:AJ108"/>
    <mergeCell ref="AL108:AN108"/>
    <mergeCell ref="X108:Y108"/>
    <mergeCell ref="Z108:AA108"/>
    <mergeCell ref="AB108:AC108"/>
    <mergeCell ref="AD108:AE108"/>
    <mergeCell ref="X74:Y74"/>
    <mergeCell ref="Z74:AA74"/>
    <mergeCell ref="AB74:AC74"/>
    <mergeCell ref="AD74:AE74"/>
    <mergeCell ref="AL90:AN90"/>
    <mergeCell ref="X91:AE91"/>
    <mergeCell ref="AG91:AJ91"/>
    <mergeCell ref="AL91:AM91"/>
    <mergeCell ref="X90:Y90"/>
    <mergeCell ref="Z90:AA90"/>
    <mergeCell ref="AB90:AC90"/>
    <mergeCell ref="AD90:AE90"/>
    <mergeCell ref="AL73:AM73"/>
    <mergeCell ref="X72:Y72"/>
    <mergeCell ref="Z72:AA72"/>
    <mergeCell ref="AB72:AC72"/>
    <mergeCell ref="AD72:AE72"/>
    <mergeCell ref="AL36:AN36"/>
    <mergeCell ref="AL54:AN54"/>
    <mergeCell ref="AG37:AJ37"/>
    <mergeCell ref="AL37:AM37"/>
    <mergeCell ref="AG36:AH36"/>
    <mergeCell ref="AI36:AJ36"/>
    <mergeCell ref="X55:AE55"/>
    <mergeCell ref="AG55:AJ55"/>
    <mergeCell ref="AL55:AM55"/>
    <mergeCell ref="AD54:AE54"/>
    <mergeCell ref="O19:P19"/>
    <mergeCell ref="J25:K25"/>
    <mergeCell ref="L25:M25"/>
    <mergeCell ref="J19:K19"/>
    <mergeCell ref="L22:M22"/>
    <mergeCell ref="L19:M19"/>
    <mergeCell ref="AG54:AH54"/>
    <mergeCell ref="AI54:AJ54"/>
    <mergeCell ref="J43:K43"/>
    <mergeCell ref="L43:M43"/>
    <mergeCell ref="L37:M37"/>
    <mergeCell ref="O37:P37"/>
    <mergeCell ref="J40:K40"/>
    <mergeCell ref="L40:M40"/>
    <mergeCell ref="J37:K37"/>
    <mergeCell ref="O43:Q43"/>
    <mergeCell ref="J20:K20"/>
    <mergeCell ref="J30:K30"/>
    <mergeCell ref="L30:M30"/>
    <mergeCell ref="O25:Q25"/>
    <mergeCell ref="O30:Q30"/>
    <mergeCell ref="L27:M27"/>
    <mergeCell ref="J27:K27"/>
    <mergeCell ref="J55:K55"/>
    <mergeCell ref="L55:M55"/>
    <mergeCell ref="O55:P55"/>
    <mergeCell ref="J58:K58"/>
    <mergeCell ref="L58:M58"/>
    <mergeCell ref="J61:K61"/>
    <mergeCell ref="L61:M61"/>
    <mergeCell ref="O61:Q61"/>
    <mergeCell ref="J45:K45"/>
    <mergeCell ref="L45:M45"/>
    <mergeCell ref="J48:K48"/>
    <mergeCell ref="L48:M48"/>
    <mergeCell ref="O48:Q48"/>
    <mergeCell ref="J76:K76"/>
    <mergeCell ref="L76:M76"/>
    <mergeCell ref="J79:K79"/>
    <mergeCell ref="L79:M79"/>
    <mergeCell ref="O79:Q79"/>
    <mergeCell ref="J81:K81"/>
    <mergeCell ref="L81:M81"/>
    <mergeCell ref="J63:K63"/>
    <mergeCell ref="L63:M63"/>
    <mergeCell ref="J73:K73"/>
    <mergeCell ref="L73:M73"/>
    <mergeCell ref="O73:P73"/>
    <mergeCell ref="J66:K66"/>
    <mergeCell ref="L66:M66"/>
    <mergeCell ref="O66:Q66"/>
    <mergeCell ref="J102:K102"/>
    <mergeCell ref="L102:M102"/>
    <mergeCell ref="O102:Q102"/>
    <mergeCell ref="J97:K97"/>
    <mergeCell ref="L97:M97"/>
    <mergeCell ref="O97:Q97"/>
    <mergeCell ref="J99:K99"/>
    <mergeCell ref="L99:M99"/>
    <mergeCell ref="J84:K84"/>
    <mergeCell ref="L84:M84"/>
    <mergeCell ref="O84:Q84"/>
    <mergeCell ref="L91:M91"/>
    <mergeCell ref="O91:P91"/>
    <mergeCell ref="J94:K94"/>
    <mergeCell ref="L94:M94"/>
    <mergeCell ref="J91:K91"/>
    <mergeCell ref="L9:M9"/>
    <mergeCell ref="AD36:AE36"/>
    <mergeCell ref="A1:G1"/>
    <mergeCell ref="H1:I1"/>
    <mergeCell ref="J1:M1"/>
    <mergeCell ref="J2:K2"/>
    <mergeCell ref="L2:M2"/>
    <mergeCell ref="J6:K6"/>
    <mergeCell ref="X20:Y20"/>
    <mergeCell ref="Z20:AA20"/>
    <mergeCell ref="J22:K22"/>
    <mergeCell ref="X36:Y36"/>
    <mergeCell ref="Z36:AA36"/>
    <mergeCell ref="AB36:AC36"/>
    <mergeCell ref="Q3:R3"/>
    <mergeCell ref="O4:P4"/>
    <mergeCell ref="A17:D17"/>
    <mergeCell ref="A14:D14"/>
    <mergeCell ref="T1:W1"/>
    <mergeCell ref="T2:U2"/>
    <mergeCell ref="Q4:R4"/>
    <mergeCell ref="O5:P5"/>
    <mergeCell ref="Q5:R5"/>
    <mergeCell ref="O1:R1"/>
    <mergeCell ref="BM105:BN105"/>
    <mergeCell ref="J14:K14"/>
    <mergeCell ref="L14:M14"/>
    <mergeCell ref="J11:K11"/>
    <mergeCell ref="L11:M11"/>
    <mergeCell ref="J15:K15"/>
    <mergeCell ref="L15:M15"/>
    <mergeCell ref="J18:K18"/>
    <mergeCell ref="BW13:CB13"/>
    <mergeCell ref="BM51:BN51"/>
    <mergeCell ref="BM23:BN23"/>
    <mergeCell ref="BP22:BR22"/>
    <mergeCell ref="BM28:BN28"/>
    <mergeCell ref="BZ23:CA23"/>
    <mergeCell ref="BZ28:CA28"/>
    <mergeCell ref="BM33:BN33"/>
    <mergeCell ref="L18:M18"/>
    <mergeCell ref="J16:K16"/>
    <mergeCell ref="L16:M16"/>
    <mergeCell ref="AL19:AM19"/>
    <mergeCell ref="AB20:AC20"/>
    <mergeCell ref="J12:K12"/>
    <mergeCell ref="L12:M12"/>
    <mergeCell ref="J13:K13"/>
    <mergeCell ref="V2:W2"/>
    <mergeCell ref="T3:U3"/>
    <mergeCell ref="V3:W3"/>
    <mergeCell ref="T4:U4"/>
    <mergeCell ref="V4:W4"/>
    <mergeCell ref="V5:W5"/>
    <mergeCell ref="T5:U5"/>
    <mergeCell ref="J17:K17"/>
    <mergeCell ref="L17:M17"/>
    <mergeCell ref="L13:M13"/>
    <mergeCell ref="L3:M3"/>
    <mergeCell ref="J3:K3"/>
    <mergeCell ref="J5:K5"/>
    <mergeCell ref="L5:M5"/>
    <mergeCell ref="J4:K4"/>
    <mergeCell ref="L4:M4"/>
    <mergeCell ref="L10:M10"/>
    <mergeCell ref="J10:K10"/>
    <mergeCell ref="J7:K7"/>
    <mergeCell ref="L6:M6"/>
    <mergeCell ref="L7:M7"/>
    <mergeCell ref="J8:K8"/>
    <mergeCell ref="L8:M8"/>
    <mergeCell ref="J9:K9"/>
    <mergeCell ref="T9:U9"/>
    <mergeCell ref="V9:W9"/>
    <mergeCell ref="T10:U10"/>
    <mergeCell ref="V10:W10"/>
    <mergeCell ref="T11:U11"/>
    <mergeCell ref="V11:W11"/>
    <mergeCell ref="T6:U6"/>
    <mergeCell ref="V6:W6"/>
    <mergeCell ref="T7:U7"/>
    <mergeCell ref="V7:W7"/>
    <mergeCell ref="T8:U8"/>
    <mergeCell ref="V8:W8"/>
    <mergeCell ref="DD55:DE55"/>
    <mergeCell ref="DF55:DG55"/>
    <mergeCell ref="T15:U15"/>
    <mergeCell ref="V15:W15"/>
    <mergeCell ref="DD19:DE19"/>
    <mergeCell ref="DF19:DG19"/>
    <mergeCell ref="DD20:DE20"/>
    <mergeCell ref="DD56:DE56"/>
    <mergeCell ref="T12:U12"/>
    <mergeCell ref="V12:W12"/>
    <mergeCell ref="T13:U13"/>
    <mergeCell ref="V13:W13"/>
    <mergeCell ref="T14:U14"/>
    <mergeCell ref="V14:W14"/>
    <mergeCell ref="X19:AE19"/>
    <mergeCell ref="AG19:AJ19"/>
    <mergeCell ref="BZ33:CA33"/>
    <mergeCell ref="CC22:CE22"/>
    <mergeCell ref="CC40:CE40"/>
    <mergeCell ref="AD20:AE20"/>
    <mergeCell ref="X37:AE37"/>
    <mergeCell ref="X54:Y54"/>
    <mergeCell ref="Z54:AA54"/>
    <mergeCell ref="AB54:AC54"/>
    <mergeCell ref="DA22:DD22"/>
    <mergeCell ref="DA26:DB26"/>
    <mergeCell ref="DD37:DE37"/>
    <mergeCell ref="DF37:DG37"/>
    <mergeCell ref="DD38:DE38"/>
    <mergeCell ref="DA40:DD40"/>
    <mergeCell ref="DC26:DD26"/>
    <mergeCell ref="DF26:DH26"/>
    <mergeCell ref="DA44:DB44"/>
    <mergeCell ref="DC44:DD44"/>
    <mergeCell ref="DF44:DH44"/>
    <mergeCell ref="DJ5:DO5"/>
    <mergeCell ref="DD92:DE92"/>
    <mergeCell ref="DA94:DD94"/>
    <mergeCell ref="DA98:DB98"/>
    <mergeCell ref="DC98:DD98"/>
    <mergeCell ref="DF98:DH98"/>
    <mergeCell ref="DL19:DO19"/>
    <mergeCell ref="DL37:DO37"/>
    <mergeCell ref="DL55:DO55"/>
    <mergeCell ref="DL73:DO73"/>
    <mergeCell ref="DL91:DO91"/>
    <mergeCell ref="DD74:DE74"/>
    <mergeCell ref="DA76:DD76"/>
    <mergeCell ref="DA80:DB80"/>
    <mergeCell ref="DC80:DD80"/>
    <mergeCell ref="DF80:DH80"/>
    <mergeCell ref="DD91:DE91"/>
    <mergeCell ref="DF91:DG91"/>
    <mergeCell ref="DA58:DD58"/>
    <mergeCell ref="DA62:DB62"/>
    <mergeCell ref="DC62:DD62"/>
    <mergeCell ref="DF62:DH62"/>
    <mergeCell ref="DD73:DE73"/>
    <mergeCell ref="DF73:DG73"/>
  </mergeCells>
  <phoneticPr fontId="0" type="noConversion"/>
  <pageMargins left="0.75" right="0.75" top="1" bottom="1" header="0.5" footer="0.5"/>
  <pageSetup orientation="portrait" r:id="rId1"/>
  <headerFooter alignWithMargins="0"/>
  <ignoredErrors>
    <ignoredError sqref="A5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U248"/>
  <sheetViews>
    <sheetView topLeftCell="A140" workbookViewId="0">
      <pane xSplit="2" topLeftCell="C1" activePane="topRight" state="frozen"/>
      <selection pane="topRight" activeCell="C156" sqref="C156"/>
    </sheetView>
  </sheetViews>
  <sheetFormatPr defaultRowHeight="12.75" x14ac:dyDescent="0.2"/>
  <cols>
    <col min="3" max="3" width="4.7109375" style="1" customWidth="1"/>
    <col min="4" max="8" width="4.7109375" customWidth="1"/>
    <col min="9" max="9" width="4.7109375" style="1" customWidth="1"/>
    <col min="10" max="14" width="4.7109375" customWidth="1"/>
    <col min="15" max="15" width="4.7109375" style="1" customWidth="1"/>
    <col min="16" max="20" width="4.7109375" customWidth="1"/>
    <col min="21" max="21" width="4.7109375" style="1" customWidth="1"/>
    <col min="22" max="26" width="4.7109375" customWidth="1"/>
    <col min="27" max="27" width="4.7109375" style="1" customWidth="1"/>
    <col min="28" max="32" width="4.7109375" customWidth="1"/>
    <col min="33" max="33" width="4.7109375" style="1" customWidth="1"/>
    <col min="34" max="38" width="4.7109375" customWidth="1"/>
    <col min="39" max="39" width="4.7109375" style="1" customWidth="1"/>
    <col min="40" max="43" width="4.7109375" customWidth="1"/>
    <col min="44" max="44" width="4.7109375" style="2" customWidth="1"/>
    <col min="45" max="255" width="4.7109375" customWidth="1"/>
  </cols>
  <sheetData>
    <row r="1" spans="1:255" ht="13.5" thickBot="1" x14ac:dyDescent="0.25">
      <c r="A1" t="s">
        <v>436</v>
      </c>
      <c r="B1" s="11" t="s">
        <v>0</v>
      </c>
      <c r="C1" s="562" t="s">
        <v>2</v>
      </c>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c r="AL1" s="562"/>
      <c r="AM1" s="562"/>
      <c r="AN1" s="562"/>
      <c r="AO1" s="562"/>
      <c r="AP1" s="562"/>
      <c r="AQ1" s="562"/>
      <c r="AR1" s="563"/>
      <c r="AS1" s="618" t="s">
        <v>3</v>
      </c>
      <c r="AT1" s="562"/>
      <c r="AU1" s="562"/>
      <c r="AV1" s="562"/>
      <c r="AW1" s="562"/>
      <c r="AX1" s="562"/>
      <c r="AY1" s="562"/>
      <c r="AZ1" s="562"/>
      <c r="BA1" s="562"/>
      <c r="BB1" s="562"/>
      <c r="BC1" s="562"/>
      <c r="BD1" s="562"/>
      <c r="BE1" s="562"/>
      <c r="BF1" s="562"/>
      <c r="BG1" s="562"/>
      <c r="BH1" s="562"/>
      <c r="BI1" s="562"/>
      <c r="BJ1" s="562"/>
      <c r="BK1" s="562"/>
      <c r="BL1" s="562"/>
      <c r="BM1" s="562"/>
      <c r="BN1" s="562"/>
      <c r="BO1" s="562"/>
      <c r="BP1" s="562"/>
      <c r="BQ1" s="562"/>
      <c r="BR1" s="562"/>
      <c r="BS1" s="562"/>
      <c r="BT1" s="562"/>
      <c r="BU1" s="562"/>
      <c r="BV1" s="562"/>
      <c r="BW1" s="562"/>
      <c r="BX1" s="562"/>
      <c r="BY1" s="562"/>
      <c r="BZ1" s="562"/>
      <c r="CA1" s="562"/>
      <c r="CB1" s="562"/>
      <c r="CC1" s="562"/>
      <c r="CD1" s="562"/>
      <c r="CE1" s="562"/>
      <c r="CF1" s="562"/>
      <c r="CG1" s="562"/>
      <c r="CH1" s="563"/>
      <c r="CI1" s="618" t="s">
        <v>4</v>
      </c>
      <c r="CJ1" s="562"/>
      <c r="CK1" s="562"/>
      <c r="CL1" s="562"/>
      <c r="CM1" s="562"/>
      <c r="CN1" s="562"/>
      <c r="CO1" s="562"/>
      <c r="CP1" s="562"/>
      <c r="CQ1" s="562"/>
      <c r="CR1" s="562"/>
      <c r="CS1" s="562"/>
      <c r="CT1" s="562"/>
      <c r="CU1" s="562"/>
      <c r="CV1" s="562"/>
      <c r="CW1" s="562"/>
      <c r="CX1" s="562"/>
      <c r="CY1" s="562"/>
      <c r="CZ1" s="562"/>
      <c r="DA1" s="562"/>
      <c r="DB1" s="562"/>
      <c r="DC1" s="562"/>
      <c r="DD1" s="562"/>
      <c r="DE1" s="562"/>
      <c r="DF1" s="562"/>
      <c r="DG1" s="562"/>
      <c r="DH1" s="562"/>
      <c r="DI1" s="562"/>
      <c r="DJ1" s="562"/>
      <c r="DK1" s="562"/>
      <c r="DL1" s="562"/>
      <c r="DM1" s="562"/>
      <c r="DN1" s="562"/>
      <c r="DO1" s="562"/>
      <c r="DP1" s="562"/>
      <c r="DQ1" s="562"/>
      <c r="DR1" s="562"/>
      <c r="DS1" s="562"/>
      <c r="DT1" s="562"/>
      <c r="DU1" s="562"/>
      <c r="DV1" s="562"/>
      <c r="DW1" s="562"/>
      <c r="DX1" s="563"/>
      <c r="DY1" s="618" t="s">
        <v>5</v>
      </c>
      <c r="DZ1" s="562"/>
      <c r="EA1" s="562"/>
      <c r="EB1" s="562"/>
      <c r="EC1" s="562"/>
      <c r="ED1" s="562"/>
      <c r="EE1" s="562"/>
      <c r="EF1" s="562"/>
      <c r="EG1" s="562"/>
      <c r="EH1" s="562"/>
      <c r="EI1" s="562"/>
      <c r="EJ1" s="562"/>
      <c r="EK1" s="562"/>
      <c r="EL1" s="562"/>
      <c r="EM1" s="562"/>
      <c r="EN1" s="562"/>
      <c r="EO1" s="562"/>
      <c r="EP1" s="562"/>
      <c r="EQ1" s="562"/>
      <c r="ER1" s="562"/>
      <c r="ES1" s="562"/>
      <c r="ET1" s="562"/>
      <c r="EU1" s="562"/>
      <c r="EV1" s="562"/>
      <c r="EW1" s="562"/>
      <c r="EX1" s="562"/>
      <c r="EY1" s="562"/>
      <c r="EZ1" s="562"/>
      <c r="FA1" s="562"/>
      <c r="FB1" s="562"/>
      <c r="FC1" s="562"/>
      <c r="FD1" s="562"/>
      <c r="FE1" s="562"/>
      <c r="FF1" s="562"/>
      <c r="FG1" s="562"/>
      <c r="FH1" s="562"/>
      <c r="FI1" s="562"/>
      <c r="FJ1" s="562"/>
      <c r="FK1" s="562"/>
      <c r="FL1" s="562"/>
      <c r="FM1" s="562"/>
      <c r="FN1" s="563"/>
      <c r="FO1" s="618" t="s">
        <v>6</v>
      </c>
      <c r="FP1" s="562"/>
      <c r="FQ1" s="562"/>
      <c r="FR1" s="562"/>
      <c r="FS1" s="562"/>
      <c r="FT1" s="562"/>
      <c r="FU1" s="562"/>
      <c r="FV1" s="562"/>
      <c r="FW1" s="562"/>
      <c r="FX1" s="562"/>
      <c r="FY1" s="562"/>
      <c r="FZ1" s="562"/>
      <c r="GA1" s="562"/>
      <c r="GB1" s="562"/>
      <c r="GC1" s="562"/>
      <c r="GD1" s="562"/>
      <c r="GE1" s="562"/>
      <c r="GF1" s="562"/>
      <c r="GG1" s="562"/>
      <c r="GH1" s="562"/>
      <c r="GI1" s="562"/>
      <c r="GJ1" s="562"/>
      <c r="GK1" s="562"/>
      <c r="GL1" s="562"/>
      <c r="GM1" s="562"/>
      <c r="GN1" s="562"/>
      <c r="GO1" s="562"/>
      <c r="GP1" s="562"/>
      <c r="GQ1" s="562"/>
      <c r="GR1" s="562"/>
      <c r="GS1" s="562"/>
      <c r="GT1" s="562"/>
      <c r="GU1" s="562"/>
      <c r="GV1" s="562"/>
      <c r="GW1" s="562"/>
      <c r="GX1" s="562"/>
      <c r="GY1" s="562"/>
      <c r="GZ1" s="562"/>
      <c r="HA1" s="562"/>
      <c r="HB1" s="562"/>
      <c r="HC1" s="562"/>
      <c r="HD1" s="563"/>
      <c r="HE1" s="618" t="s">
        <v>7</v>
      </c>
      <c r="HF1" s="562"/>
      <c r="HG1" s="562"/>
      <c r="HH1" s="562"/>
      <c r="HI1" s="562"/>
      <c r="HJ1" s="562"/>
      <c r="HK1" s="562"/>
      <c r="HL1" s="562"/>
      <c r="HM1" s="562"/>
      <c r="HN1" s="562"/>
      <c r="HO1" s="562"/>
      <c r="HP1" s="562"/>
      <c r="HQ1" s="562"/>
      <c r="HR1" s="562"/>
      <c r="HS1" s="562"/>
      <c r="HT1" s="562"/>
      <c r="HU1" s="562"/>
      <c r="HV1" s="562"/>
      <c r="HW1" s="562"/>
      <c r="HX1" s="562"/>
      <c r="HY1" s="562"/>
      <c r="HZ1" s="562"/>
      <c r="IA1" s="562"/>
      <c r="IB1" s="562"/>
      <c r="IC1" s="562"/>
      <c r="ID1" s="562"/>
      <c r="IE1" s="562"/>
      <c r="IF1" s="562"/>
      <c r="IG1" s="562"/>
      <c r="IH1" s="562"/>
      <c r="II1" s="562"/>
      <c r="IJ1" s="562"/>
      <c r="IK1" s="562"/>
      <c r="IL1" s="562"/>
      <c r="IM1" s="562"/>
      <c r="IN1" s="562"/>
      <c r="IO1" s="562"/>
      <c r="IP1" s="562"/>
      <c r="IQ1" s="562"/>
      <c r="IR1" s="562"/>
      <c r="IS1" s="562"/>
      <c r="IT1" s="563"/>
      <c r="IU1" s="32"/>
    </row>
    <row r="2" spans="1:255" ht="13.5" thickBot="1" x14ac:dyDescent="0.25">
      <c r="A2" t="s">
        <v>439</v>
      </c>
      <c r="B2" s="20" t="s">
        <v>1</v>
      </c>
      <c r="C2" s="618" t="s">
        <v>109</v>
      </c>
      <c r="D2" s="629"/>
      <c r="E2" s="629"/>
      <c r="F2" s="629"/>
      <c r="G2" s="629"/>
      <c r="H2" s="630"/>
      <c r="I2" s="618" t="s">
        <v>115</v>
      </c>
      <c r="J2" s="562"/>
      <c r="K2" s="562"/>
      <c r="L2" s="562"/>
      <c r="M2" s="562"/>
      <c r="N2" s="563"/>
      <c r="O2" s="618" t="s">
        <v>119</v>
      </c>
      <c r="P2" s="562"/>
      <c r="Q2" s="562"/>
      <c r="R2" s="562"/>
      <c r="S2" s="562"/>
      <c r="T2" s="563"/>
      <c r="U2" s="618" t="s">
        <v>124</v>
      </c>
      <c r="V2" s="562"/>
      <c r="W2" s="562"/>
      <c r="X2" s="562"/>
      <c r="Y2" s="562"/>
      <c r="Z2" s="563"/>
      <c r="AA2" s="618" t="s">
        <v>128</v>
      </c>
      <c r="AB2" s="562"/>
      <c r="AC2" s="562"/>
      <c r="AD2" s="562"/>
      <c r="AE2" s="562"/>
      <c r="AF2" s="563"/>
      <c r="AG2" s="618" t="s">
        <v>134</v>
      </c>
      <c r="AH2" s="562"/>
      <c r="AI2" s="562"/>
      <c r="AJ2" s="562"/>
      <c r="AK2" s="562"/>
      <c r="AL2" s="563"/>
      <c r="AM2" s="618" t="s">
        <v>139</v>
      </c>
      <c r="AN2" s="562"/>
      <c r="AO2" s="562"/>
      <c r="AP2" s="562"/>
      <c r="AQ2" s="562"/>
      <c r="AR2" s="563"/>
      <c r="AS2" s="618" t="s">
        <v>110</v>
      </c>
      <c r="AT2" s="629"/>
      <c r="AU2" s="629"/>
      <c r="AV2" s="629"/>
      <c r="AW2" s="629"/>
      <c r="AX2" s="630"/>
      <c r="AY2" s="618" t="s">
        <v>118</v>
      </c>
      <c r="AZ2" s="562"/>
      <c r="BA2" s="562"/>
      <c r="BB2" s="562"/>
      <c r="BC2" s="562"/>
      <c r="BD2" s="563"/>
      <c r="BE2" s="618" t="s">
        <v>123</v>
      </c>
      <c r="BF2" s="562"/>
      <c r="BG2" s="562"/>
      <c r="BH2" s="562"/>
      <c r="BI2" s="562"/>
      <c r="BJ2" s="563"/>
      <c r="BK2" s="618" t="s">
        <v>127</v>
      </c>
      <c r="BL2" s="562"/>
      <c r="BM2" s="562"/>
      <c r="BN2" s="562"/>
      <c r="BO2" s="562"/>
      <c r="BP2" s="563"/>
      <c r="BQ2" s="618" t="s">
        <v>133</v>
      </c>
      <c r="BR2" s="562"/>
      <c r="BS2" s="562"/>
      <c r="BT2" s="562"/>
      <c r="BU2" s="562"/>
      <c r="BV2" s="563"/>
      <c r="BW2" s="618" t="s">
        <v>138</v>
      </c>
      <c r="BX2" s="562"/>
      <c r="BY2" s="562"/>
      <c r="BZ2" s="562"/>
      <c r="CA2" s="562"/>
      <c r="CB2" s="563"/>
      <c r="CC2" s="618" t="s">
        <v>143</v>
      </c>
      <c r="CD2" s="562"/>
      <c r="CE2" s="562"/>
      <c r="CF2" s="562"/>
      <c r="CG2" s="562"/>
      <c r="CH2" s="563"/>
      <c r="CI2" s="618" t="s">
        <v>111</v>
      </c>
      <c r="CJ2" s="629"/>
      <c r="CK2" s="629"/>
      <c r="CL2" s="629"/>
      <c r="CM2" s="629"/>
      <c r="CN2" s="630"/>
      <c r="CO2" s="618" t="s">
        <v>117</v>
      </c>
      <c r="CP2" s="562"/>
      <c r="CQ2" s="562"/>
      <c r="CR2" s="562"/>
      <c r="CS2" s="562"/>
      <c r="CT2" s="563"/>
      <c r="CU2" s="618" t="s">
        <v>122</v>
      </c>
      <c r="CV2" s="562"/>
      <c r="CW2" s="562"/>
      <c r="CX2" s="562"/>
      <c r="CY2" s="562"/>
      <c r="CZ2" s="563"/>
      <c r="DA2" s="618" t="s">
        <v>126</v>
      </c>
      <c r="DB2" s="562"/>
      <c r="DC2" s="562"/>
      <c r="DD2" s="562"/>
      <c r="DE2" s="562"/>
      <c r="DF2" s="563"/>
      <c r="DG2" s="618" t="s">
        <v>132</v>
      </c>
      <c r="DH2" s="562"/>
      <c r="DI2" s="562"/>
      <c r="DJ2" s="562"/>
      <c r="DK2" s="562"/>
      <c r="DL2" s="563"/>
      <c r="DM2" s="618" t="s">
        <v>137</v>
      </c>
      <c r="DN2" s="562"/>
      <c r="DO2" s="562"/>
      <c r="DP2" s="562"/>
      <c r="DQ2" s="562"/>
      <c r="DR2" s="563"/>
      <c r="DS2" s="618" t="s">
        <v>142</v>
      </c>
      <c r="DT2" s="562"/>
      <c r="DU2" s="562"/>
      <c r="DV2" s="562"/>
      <c r="DW2" s="562"/>
      <c r="DX2" s="563"/>
      <c r="DY2" s="618" t="s">
        <v>112</v>
      </c>
      <c r="DZ2" s="629"/>
      <c r="EA2" s="629"/>
      <c r="EB2" s="629"/>
      <c r="EC2" s="629"/>
      <c r="ED2" s="630"/>
      <c r="EE2" s="618" t="s">
        <v>144</v>
      </c>
      <c r="EF2" s="562"/>
      <c r="EG2" s="562"/>
      <c r="EH2" s="562"/>
      <c r="EI2" s="562"/>
      <c r="EJ2" s="563"/>
      <c r="EK2" s="618" t="s">
        <v>145</v>
      </c>
      <c r="EL2" s="562"/>
      <c r="EM2" s="562"/>
      <c r="EN2" s="562"/>
      <c r="EO2" s="562"/>
      <c r="EP2" s="563"/>
      <c r="EQ2" s="618" t="s">
        <v>146</v>
      </c>
      <c r="ER2" s="562"/>
      <c r="ES2" s="562"/>
      <c r="ET2" s="562"/>
      <c r="EU2" s="562"/>
      <c r="EV2" s="563"/>
      <c r="EW2" s="618" t="s">
        <v>147</v>
      </c>
      <c r="EX2" s="562"/>
      <c r="EY2" s="562"/>
      <c r="EZ2" s="562"/>
      <c r="FA2" s="562"/>
      <c r="FB2" s="563"/>
      <c r="FC2" s="618" t="s">
        <v>148</v>
      </c>
      <c r="FD2" s="562"/>
      <c r="FE2" s="562"/>
      <c r="FF2" s="562"/>
      <c r="FG2" s="562"/>
      <c r="FH2" s="563"/>
      <c r="FI2" s="618" t="s">
        <v>149</v>
      </c>
      <c r="FJ2" s="562"/>
      <c r="FK2" s="562"/>
      <c r="FL2" s="562"/>
      <c r="FM2" s="562"/>
      <c r="FN2" s="563"/>
      <c r="FO2" s="618" t="s">
        <v>113</v>
      </c>
      <c r="FP2" s="629"/>
      <c r="FQ2" s="629"/>
      <c r="FR2" s="629"/>
      <c r="FS2" s="629"/>
      <c r="FT2" s="630"/>
      <c r="FU2" s="618" t="s">
        <v>121</v>
      </c>
      <c r="FV2" s="562"/>
      <c r="FW2" s="562"/>
      <c r="FX2" s="562"/>
      <c r="FY2" s="562"/>
      <c r="FZ2" s="563"/>
      <c r="GA2" s="618" t="s">
        <v>120</v>
      </c>
      <c r="GB2" s="562"/>
      <c r="GC2" s="562"/>
      <c r="GD2" s="562"/>
      <c r="GE2" s="562"/>
      <c r="GF2" s="563"/>
      <c r="GG2" s="618" t="s">
        <v>125</v>
      </c>
      <c r="GH2" s="562"/>
      <c r="GI2" s="562"/>
      <c r="GJ2" s="562"/>
      <c r="GK2" s="562"/>
      <c r="GL2" s="563"/>
      <c r="GM2" s="618" t="s">
        <v>131</v>
      </c>
      <c r="GN2" s="562"/>
      <c r="GO2" s="562"/>
      <c r="GP2" s="562"/>
      <c r="GQ2" s="562"/>
      <c r="GR2" s="563"/>
      <c r="GS2" s="618" t="s">
        <v>136</v>
      </c>
      <c r="GT2" s="562"/>
      <c r="GU2" s="562"/>
      <c r="GV2" s="562"/>
      <c r="GW2" s="562"/>
      <c r="GX2" s="563"/>
      <c r="GY2" s="618" t="s">
        <v>141</v>
      </c>
      <c r="GZ2" s="562"/>
      <c r="HA2" s="562"/>
      <c r="HB2" s="562"/>
      <c r="HC2" s="562"/>
      <c r="HD2" s="563"/>
      <c r="HE2" s="618" t="s">
        <v>114</v>
      </c>
      <c r="HF2" s="629"/>
      <c r="HG2" s="629"/>
      <c r="HH2" s="629"/>
      <c r="HI2" s="629"/>
      <c r="HJ2" s="630"/>
      <c r="HK2" s="618" t="s">
        <v>116</v>
      </c>
      <c r="HL2" s="562"/>
      <c r="HM2" s="562"/>
      <c r="HN2" s="562"/>
      <c r="HO2" s="562"/>
      <c r="HP2" s="563"/>
      <c r="HQ2" s="618" t="s">
        <v>435</v>
      </c>
      <c r="HR2" s="562"/>
      <c r="HS2" s="562"/>
      <c r="HT2" s="562"/>
      <c r="HU2" s="562"/>
      <c r="HV2" s="563"/>
      <c r="HW2" s="618" t="s">
        <v>129</v>
      </c>
      <c r="HX2" s="562"/>
      <c r="HY2" s="562"/>
      <c r="HZ2" s="562"/>
      <c r="IA2" s="562"/>
      <c r="IB2" s="563"/>
      <c r="IC2" s="618" t="s">
        <v>130</v>
      </c>
      <c r="ID2" s="562"/>
      <c r="IE2" s="562"/>
      <c r="IF2" s="562"/>
      <c r="IG2" s="562"/>
      <c r="IH2" s="563"/>
      <c r="II2" s="618" t="s">
        <v>135</v>
      </c>
      <c r="IJ2" s="562"/>
      <c r="IK2" s="562"/>
      <c r="IL2" s="562"/>
      <c r="IM2" s="562"/>
      <c r="IN2" s="563"/>
      <c r="IO2" s="618" t="s">
        <v>140</v>
      </c>
      <c r="IP2" s="562"/>
      <c r="IQ2" s="562"/>
      <c r="IR2" s="562"/>
      <c r="IS2" s="562"/>
      <c r="IT2" s="563"/>
      <c r="IU2" s="2"/>
    </row>
    <row r="3" spans="1:255" ht="13.5" thickBot="1" x14ac:dyDescent="0.25">
      <c r="A3" t="s">
        <v>441</v>
      </c>
      <c r="B3" s="21" t="s">
        <v>8</v>
      </c>
      <c r="C3" s="13">
        <v>0.5</v>
      </c>
      <c r="D3" s="14">
        <v>1</v>
      </c>
      <c r="E3" s="15">
        <v>1.5</v>
      </c>
      <c r="F3" s="14">
        <v>2</v>
      </c>
      <c r="G3" s="15">
        <v>2.5</v>
      </c>
      <c r="H3" s="16">
        <v>3</v>
      </c>
      <c r="I3" s="13">
        <v>0.5</v>
      </c>
      <c r="J3" s="14">
        <v>1</v>
      </c>
      <c r="K3" s="15">
        <v>1.5</v>
      </c>
      <c r="L3" s="14">
        <v>2</v>
      </c>
      <c r="M3" s="15">
        <v>2.5</v>
      </c>
      <c r="N3" s="16">
        <v>3</v>
      </c>
      <c r="O3" s="13">
        <v>0.5</v>
      </c>
      <c r="P3" s="14">
        <v>1</v>
      </c>
      <c r="Q3" s="15">
        <v>1.5</v>
      </c>
      <c r="R3" s="14">
        <v>2</v>
      </c>
      <c r="S3" s="15">
        <v>2.5</v>
      </c>
      <c r="T3" s="16">
        <v>3</v>
      </c>
      <c r="U3" s="13">
        <v>0.5</v>
      </c>
      <c r="V3" s="14">
        <v>1</v>
      </c>
      <c r="W3" s="15">
        <v>1.5</v>
      </c>
      <c r="X3" s="14">
        <v>2</v>
      </c>
      <c r="Y3" s="15">
        <v>2.5</v>
      </c>
      <c r="Z3" s="16">
        <v>3</v>
      </c>
      <c r="AA3" s="13">
        <v>0.5</v>
      </c>
      <c r="AB3" s="14">
        <v>1</v>
      </c>
      <c r="AC3" s="15">
        <v>1.5</v>
      </c>
      <c r="AD3" s="14">
        <v>2</v>
      </c>
      <c r="AE3" s="15">
        <v>2.5</v>
      </c>
      <c r="AF3" s="16">
        <v>3</v>
      </c>
      <c r="AG3" s="13">
        <v>0.5</v>
      </c>
      <c r="AH3" s="14">
        <v>1</v>
      </c>
      <c r="AI3" s="15">
        <v>1.5</v>
      </c>
      <c r="AJ3" s="14">
        <v>2</v>
      </c>
      <c r="AK3" s="15">
        <v>2.5</v>
      </c>
      <c r="AL3" s="16">
        <v>3</v>
      </c>
      <c r="AM3" s="13">
        <v>0.5</v>
      </c>
      <c r="AN3" s="14">
        <v>1</v>
      </c>
      <c r="AO3" s="15">
        <v>1.5</v>
      </c>
      <c r="AP3" s="14">
        <v>2</v>
      </c>
      <c r="AQ3" s="15">
        <v>2.5</v>
      </c>
      <c r="AR3" s="16">
        <v>3</v>
      </c>
      <c r="AS3" s="13">
        <v>0.5</v>
      </c>
      <c r="AT3" s="14">
        <v>1</v>
      </c>
      <c r="AU3" s="15">
        <v>1.5</v>
      </c>
      <c r="AV3" s="14">
        <v>2</v>
      </c>
      <c r="AW3" s="15">
        <v>2.5</v>
      </c>
      <c r="AX3" s="16">
        <v>3</v>
      </c>
      <c r="AY3" s="13">
        <v>0.5</v>
      </c>
      <c r="AZ3" s="14">
        <v>1</v>
      </c>
      <c r="BA3" s="15">
        <v>1.5</v>
      </c>
      <c r="BB3" s="14">
        <v>2</v>
      </c>
      <c r="BC3" s="15">
        <v>2.5</v>
      </c>
      <c r="BD3" s="16">
        <v>3</v>
      </c>
      <c r="BE3" s="13">
        <v>0.5</v>
      </c>
      <c r="BF3" s="14">
        <v>1</v>
      </c>
      <c r="BG3" s="15">
        <v>1.5</v>
      </c>
      <c r="BH3" s="14">
        <v>2</v>
      </c>
      <c r="BI3" s="15">
        <v>2.5</v>
      </c>
      <c r="BJ3" s="16">
        <v>3</v>
      </c>
      <c r="BK3" s="13">
        <v>0.5</v>
      </c>
      <c r="BL3" s="14">
        <v>1</v>
      </c>
      <c r="BM3" s="15">
        <v>1.5</v>
      </c>
      <c r="BN3" s="14">
        <v>2</v>
      </c>
      <c r="BO3" s="15">
        <v>2.5</v>
      </c>
      <c r="BP3" s="16">
        <v>3</v>
      </c>
      <c r="BQ3" s="13">
        <v>0.5</v>
      </c>
      <c r="BR3" s="14">
        <v>1</v>
      </c>
      <c r="BS3" s="15">
        <v>1.5</v>
      </c>
      <c r="BT3" s="14">
        <v>2</v>
      </c>
      <c r="BU3" s="15">
        <v>2.5</v>
      </c>
      <c r="BV3" s="16">
        <v>3</v>
      </c>
      <c r="BW3" s="13">
        <v>0.5</v>
      </c>
      <c r="BX3" s="14">
        <v>1</v>
      </c>
      <c r="BY3" s="15">
        <v>1.5</v>
      </c>
      <c r="BZ3" s="14">
        <v>2</v>
      </c>
      <c r="CA3" s="15">
        <v>2.5</v>
      </c>
      <c r="CB3" s="16">
        <v>3</v>
      </c>
      <c r="CC3" s="13">
        <v>0.5</v>
      </c>
      <c r="CD3" s="14">
        <v>1</v>
      </c>
      <c r="CE3" s="15">
        <v>1.5</v>
      </c>
      <c r="CF3" s="14">
        <v>2</v>
      </c>
      <c r="CG3" s="15">
        <v>2.5</v>
      </c>
      <c r="CH3" s="16">
        <v>3</v>
      </c>
      <c r="CI3" s="13">
        <v>0.5</v>
      </c>
      <c r="CJ3" s="14">
        <v>1</v>
      </c>
      <c r="CK3" s="15">
        <v>1.5</v>
      </c>
      <c r="CL3" s="14">
        <v>2</v>
      </c>
      <c r="CM3" s="15">
        <v>2.5</v>
      </c>
      <c r="CN3" s="16">
        <v>3</v>
      </c>
      <c r="CO3" s="13">
        <v>0.5</v>
      </c>
      <c r="CP3" s="14">
        <v>1</v>
      </c>
      <c r="CQ3" s="15">
        <v>1.5</v>
      </c>
      <c r="CR3" s="14">
        <v>2</v>
      </c>
      <c r="CS3" s="15">
        <v>2.5</v>
      </c>
      <c r="CT3" s="16">
        <v>3</v>
      </c>
      <c r="CU3" s="13">
        <v>0.5</v>
      </c>
      <c r="CV3" s="14">
        <v>1</v>
      </c>
      <c r="CW3" s="15">
        <v>1.5</v>
      </c>
      <c r="CX3" s="14">
        <v>2</v>
      </c>
      <c r="CY3" s="15">
        <v>2.5</v>
      </c>
      <c r="CZ3" s="16">
        <v>3</v>
      </c>
      <c r="DA3" s="13">
        <v>0.5</v>
      </c>
      <c r="DB3" s="14">
        <v>1</v>
      </c>
      <c r="DC3" s="15">
        <v>1.5</v>
      </c>
      <c r="DD3" s="14">
        <v>2</v>
      </c>
      <c r="DE3" s="15">
        <v>2.5</v>
      </c>
      <c r="DF3" s="16">
        <v>3</v>
      </c>
      <c r="DG3" s="13">
        <v>0.5</v>
      </c>
      <c r="DH3" s="14">
        <v>1</v>
      </c>
      <c r="DI3" s="15">
        <v>1.5</v>
      </c>
      <c r="DJ3" s="14">
        <v>2</v>
      </c>
      <c r="DK3" s="15">
        <v>2.5</v>
      </c>
      <c r="DL3" s="16">
        <v>3</v>
      </c>
      <c r="DM3" s="13">
        <v>0.5</v>
      </c>
      <c r="DN3" s="14">
        <v>1</v>
      </c>
      <c r="DO3" s="15">
        <v>1.5</v>
      </c>
      <c r="DP3" s="14">
        <v>2</v>
      </c>
      <c r="DQ3" s="15">
        <v>2.5</v>
      </c>
      <c r="DR3" s="16">
        <v>3</v>
      </c>
      <c r="DS3" s="13">
        <v>0.5</v>
      </c>
      <c r="DT3" s="14">
        <v>1</v>
      </c>
      <c r="DU3" s="15">
        <v>1.5</v>
      </c>
      <c r="DV3" s="14">
        <v>2</v>
      </c>
      <c r="DW3" s="15">
        <v>2.5</v>
      </c>
      <c r="DX3" s="16">
        <v>3</v>
      </c>
      <c r="DY3" s="13">
        <v>0.5</v>
      </c>
      <c r="DZ3" s="14">
        <v>1</v>
      </c>
      <c r="EA3" s="15">
        <v>1.5</v>
      </c>
      <c r="EB3" s="14">
        <v>2</v>
      </c>
      <c r="EC3" s="15">
        <v>2.5</v>
      </c>
      <c r="ED3" s="16">
        <v>3</v>
      </c>
      <c r="EE3" s="13">
        <v>0.5</v>
      </c>
      <c r="EF3" s="14">
        <v>1</v>
      </c>
      <c r="EG3" s="15">
        <v>1.5</v>
      </c>
      <c r="EH3" s="14">
        <v>2</v>
      </c>
      <c r="EI3" s="15">
        <v>2.5</v>
      </c>
      <c r="EJ3" s="16">
        <v>3</v>
      </c>
      <c r="EK3" s="13">
        <v>0.5</v>
      </c>
      <c r="EL3" s="14">
        <v>1</v>
      </c>
      <c r="EM3" s="15">
        <v>1.5</v>
      </c>
      <c r="EN3" s="14">
        <v>2</v>
      </c>
      <c r="EO3" s="15">
        <v>2.5</v>
      </c>
      <c r="EP3" s="16">
        <v>3</v>
      </c>
      <c r="EQ3" s="13">
        <v>0.5</v>
      </c>
      <c r="ER3" s="14">
        <v>1</v>
      </c>
      <c r="ES3" s="15">
        <v>1.5</v>
      </c>
      <c r="ET3" s="14">
        <v>2</v>
      </c>
      <c r="EU3" s="15">
        <v>2.5</v>
      </c>
      <c r="EV3" s="16">
        <v>3</v>
      </c>
      <c r="EW3" s="13">
        <v>0.5</v>
      </c>
      <c r="EX3" s="14">
        <v>1</v>
      </c>
      <c r="EY3" s="15">
        <v>1.5</v>
      </c>
      <c r="EZ3" s="14">
        <v>2</v>
      </c>
      <c r="FA3" s="15">
        <v>2.5</v>
      </c>
      <c r="FB3" s="16">
        <v>3</v>
      </c>
      <c r="FC3" s="13">
        <v>0.5</v>
      </c>
      <c r="FD3" s="14">
        <v>1</v>
      </c>
      <c r="FE3" s="15">
        <v>1.5</v>
      </c>
      <c r="FF3" s="14">
        <v>2</v>
      </c>
      <c r="FG3" s="15">
        <v>2.5</v>
      </c>
      <c r="FH3" s="16">
        <v>3</v>
      </c>
      <c r="FI3" s="13">
        <v>0.5</v>
      </c>
      <c r="FJ3" s="14">
        <v>1</v>
      </c>
      <c r="FK3" s="15">
        <v>1.5</v>
      </c>
      <c r="FL3" s="14">
        <v>2</v>
      </c>
      <c r="FM3" s="15">
        <v>2.5</v>
      </c>
      <c r="FN3" s="16">
        <v>3</v>
      </c>
      <c r="FO3" s="13">
        <v>0.5</v>
      </c>
      <c r="FP3" s="14">
        <v>1</v>
      </c>
      <c r="FQ3" s="15">
        <v>1.5</v>
      </c>
      <c r="FR3" s="14">
        <v>2</v>
      </c>
      <c r="FS3" s="15">
        <v>2.5</v>
      </c>
      <c r="FT3" s="16">
        <v>3</v>
      </c>
      <c r="FU3" s="13">
        <v>0.5</v>
      </c>
      <c r="FV3" s="14">
        <v>1</v>
      </c>
      <c r="FW3" s="15">
        <v>1.5</v>
      </c>
      <c r="FX3" s="14">
        <v>2</v>
      </c>
      <c r="FY3" s="15">
        <v>2.5</v>
      </c>
      <c r="FZ3" s="16">
        <v>3</v>
      </c>
      <c r="GA3" s="13">
        <v>0.5</v>
      </c>
      <c r="GB3" s="14">
        <v>1</v>
      </c>
      <c r="GC3" s="15">
        <v>1.5</v>
      </c>
      <c r="GD3" s="14">
        <v>2</v>
      </c>
      <c r="GE3" s="15">
        <v>2.5</v>
      </c>
      <c r="GF3" s="16">
        <v>3</v>
      </c>
      <c r="GG3" s="13">
        <v>0.5</v>
      </c>
      <c r="GH3" s="14">
        <v>1</v>
      </c>
      <c r="GI3" s="15">
        <v>1.5</v>
      </c>
      <c r="GJ3" s="14">
        <v>2</v>
      </c>
      <c r="GK3" s="15">
        <v>2.5</v>
      </c>
      <c r="GL3" s="16">
        <v>3</v>
      </c>
      <c r="GM3" s="13">
        <v>0.5</v>
      </c>
      <c r="GN3" s="14">
        <v>1</v>
      </c>
      <c r="GO3" s="15">
        <v>1.5</v>
      </c>
      <c r="GP3" s="14">
        <v>2</v>
      </c>
      <c r="GQ3" s="15">
        <v>2.5</v>
      </c>
      <c r="GR3" s="16">
        <v>3</v>
      </c>
      <c r="GS3" s="13">
        <v>0.5</v>
      </c>
      <c r="GT3" s="14">
        <v>1</v>
      </c>
      <c r="GU3" s="15">
        <v>1.5</v>
      </c>
      <c r="GV3" s="14">
        <v>2</v>
      </c>
      <c r="GW3" s="15">
        <v>2.5</v>
      </c>
      <c r="GX3" s="16">
        <v>3</v>
      </c>
      <c r="GY3" s="13">
        <v>0.5</v>
      </c>
      <c r="GZ3" s="14">
        <v>1</v>
      </c>
      <c r="HA3" s="15">
        <v>1.5</v>
      </c>
      <c r="HB3" s="14">
        <v>2</v>
      </c>
      <c r="HC3" s="15">
        <v>2.5</v>
      </c>
      <c r="HD3" s="16">
        <v>3</v>
      </c>
      <c r="HE3" s="13">
        <v>0.5</v>
      </c>
      <c r="HF3" s="14">
        <v>1</v>
      </c>
      <c r="HG3" s="15">
        <v>1.5</v>
      </c>
      <c r="HH3" s="14">
        <v>2</v>
      </c>
      <c r="HI3" s="15">
        <v>2.5</v>
      </c>
      <c r="HJ3" s="16">
        <v>3</v>
      </c>
      <c r="HK3" s="13">
        <v>0.5</v>
      </c>
      <c r="HL3" s="14">
        <v>1</v>
      </c>
      <c r="HM3" s="15">
        <v>1.5</v>
      </c>
      <c r="HN3" s="14">
        <v>2</v>
      </c>
      <c r="HO3" s="15">
        <v>2.5</v>
      </c>
      <c r="HP3" s="16">
        <v>3</v>
      </c>
      <c r="HQ3" s="13">
        <v>0.5</v>
      </c>
      <c r="HR3" s="14">
        <v>1</v>
      </c>
      <c r="HS3" s="15">
        <v>1.5</v>
      </c>
      <c r="HT3" s="14">
        <v>2</v>
      </c>
      <c r="HU3" s="15">
        <v>2.5</v>
      </c>
      <c r="HV3" s="16">
        <v>3</v>
      </c>
      <c r="HW3" s="13">
        <v>0.5</v>
      </c>
      <c r="HX3" s="14">
        <v>1</v>
      </c>
      <c r="HY3" s="15">
        <v>1.5</v>
      </c>
      <c r="HZ3" s="14">
        <v>2</v>
      </c>
      <c r="IA3" s="15">
        <v>2.5</v>
      </c>
      <c r="IB3" s="16">
        <v>3</v>
      </c>
      <c r="IC3" s="13">
        <v>0.5</v>
      </c>
      <c r="ID3" s="14">
        <v>1</v>
      </c>
      <c r="IE3" s="15">
        <v>1.5</v>
      </c>
      <c r="IF3" s="14">
        <v>2</v>
      </c>
      <c r="IG3" s="15">
        <v>2.5</v>
      </c>
      <c r="IH3" s="16">
        <v>3</v>
      </c>
      <c r="II3" s="13">
        <v>0.5</v>
      </c>
      <c r="IJ3" s="14">
        <v>1</v>
      </c>
      <c r="IK3" s="15">
        <v>1.5</v>
      </c>
      <c r="IL3" s="14">
        <v>2</v>
      </c>
      <c r="IM3" s="15">
        <v>2.5</v>
      </c>
      <c r="IN3" s="16">
        <v>3</v>
      </c>
      <c r="IO3" s="13">
        <v>0.5</v>
      </c>
      <c r="IP3" s="14">
        <v>1</v>
      </c>
      <c r="IQ3" s="15">
        <v>1.5</v>
      </c>
      <c r="IR3" s="14">
        <v>2</v>
      </c>
      <c r="IS3" s="15">
        <v>2.5</v>
      </c>
      <c r="IT3" s="16">
        <v>3</v>
      </c>
      <c r="IU3" s="2"/>
    </row>
    <row r="4" spans="1:255" ht="13.5" thickBot="1" x14ac:dyDescent="0.25">
      <c r="A4" s="30" t="s">
        <v>429</v>
      </c>
      <c r="B4" s="37" t="s">
        <v>428</v>
      </c>
      <c r="C4" s="46" t="s">
        <v>174</v>
      </c>
      <c r="D4" s="46" t="s">
        <v>175</v>
      </c>
      <c r="E4" s="46" t="s">
        <v>176</v>
      </c>
      <c r="F4" s="46" t="s">
        <v>177</v>
      </c>
      <c r="G4" s="46" t="s">
        <v>178</v>
      </c>
      <c r="H4" s="46" t="s">
        <v>179</v>
      </c>
      <c r="I4" s="127" t="s">
        <v>180</v>
      </c>
      <c r="J4" s="128" t="s">
        <v>181</v>
      </c>
      <c r="K4" s="128" t="s">
        <v>182</v>
      </c>
      <c r="L4" s="128" t="s">
        <v>183</v>
      </c>
      <c r="M4" s="128" t="s">
        <v>184</v>
      </c>
      <c r="N4" s="129" t="s">
        <v>185</v>
      </c>
      <c r="O4" s="46" t="s">
        <v>186</v>
      </c>
      <c r="P4" s="46" t="s">
        <v>187</v>
      </c>
      <c r="Q4" s="46" t="s">
        <v>188</v>
      </c>
      <c r="R4" s="46" t="s">
        <v>189</v>
      </c>
      <c r="S4" s="46" t="s">
        <v>190</v>
      </c>
      <c r="T4" s="46" t="s">
        <v>191</v>
      </c>
      <c r="U4" s="127" t="s">
        <v>192</v>
      </c>
      <c r="V4" s="128" t="s">
        <v>193</v>
      </c>
      <c r="W4" s="128" t="s">
        <v>194</v>
      </c>
      <c r="X4" s="128" t="s">
        <v>195</v>
      </c>
      <c r="Y4" s="128" t="s">
        <v>196</v>
      </c>
      <c r="Z4" s="129" t="s">
        <v>197</v>
      </c>
      <c r="AA4" s="46" t="s">
        <v>198</v>
      </c>
      <c r="AB4" s="46" t="s">
        <v>199</v>
      </c>
      <c r="AC4" s="46" t="s">
        <v>200</v>
      </c>
      <c r="AD4" s="46" t="s">
        <v>201</v>
      </c>
      <c r="AE4" s="46" t="s">
        <v>202</v>
      </c>
      <c r="AF4" s="46" t="s">
        <v>203</v>
      </c>
      <c r="AG4" s="127" t="s">
        <v>204</v>
      </c>
      <c r="AH4" s="128" t="s">
        <v>205</v>
      </c>
      <c r="AI4" s="128" t="s">
        <v>206</v>
      </c>
      <c r="AJ4" s="128" t="s">
        <v>207</v>
      </c>
      <c r="AK4" s="128" t="s">
        <v>208</v>
      </c>
      <c r="AL4" s="129" t="s">
        <v>209</v>
      </c>
      <c r="AM4" s="46" t="s">
        <v>210</v>
      </c>
      <c r="AN4" s="46" t="s">
        <v>211</v>
      </c>
      <c r="AO4" s="46" t="s">
        <v>212</v>
      </c>
      <c r="AP4" s="46" t="s">
        <v>213</v>
      </c>
      <c r="AQ4" s="46" t="s">
        <v>214</v>
      </c>
      <c r="AR4" s="46" t="s">
        <v>215</v>
      </c>
      <c r="AS4" s="127" t="s">
        <v>216</v>
      </c>
      <c r="AT4" s="128" t="s">
        <v>217</v>
      </c>
      <c r="AU4" s="128" t="s">
        <v>218</v>
      </c>
      <c r="AV4" s="128" t="s">
        <v>219</v>
      </c>
      <c r="AW4" s="128" t="s">
        <v>220</v>
      </c>
      <c r="AX4" s="129" t="s">
        <v>221</v>
      </c>
      <c r="AY4" s="46" t="s">
        <v>227</v>
      </c>
      <c r="AZ4" s="46" t="s">
        <v>228</v>
      </c>
      <c r="BA4" s="46" t="s">
        <v>229</v>
      </c>
      <c r="BB4" s="46" t="s">
        <v>230</v>
      </c>
      <c r="BC4" s="46" t="s">
        <v>231</v>
      </c>
      <c r="BD4" s="46" t="s">
        <v>232</v>
      </c>
      <c r="BE4" s="127" t="s">
        <v>226</v>
      </c>
      <c r="BF4" s="128" t="s">
        <v>233</v>
      </c>
      <c r="BG4" s="128" t="s">
        <v>234</v>
      </c>
      <c r="BH4" s="128" t="s">
        <v>235</v>
      </c>
      <c r="BI4" s="128" t="s">
        <v>236</v>
      </c>
      <c r="BJ4" s="129" t="s">
        <v>237</v>
      </c>
      <c r="BK4" s="46" t="s">
        <v>225</v>
      </c>
      <c r="BL4" s="46" t="s">
        <v>238</v>
      </c>
      <c r="BM4" s="46" t="s">
        <v>239</v>
      </c>
      <c r="BN4" s="46" t="s">
        <v>240</v>
      </c>
      <c r="BO4" s="46" t="s">
        <v>241</v>
      </c>
      <c r="BP4" s="46" t="s">
        <v>242</v>
      </c>
      <c r="BQ4" s="127" t="s">
        <v>224</v>
      </c>
      <c r="BR4" s="128" t="s">
        <v>243</v>
      </c>
      <c r="BS4" s="128" t="s">
        <v>244</v>
      </c>
      <c r="BT4" s="128" t="s">
        <v>245</v>
      </c>
      <c r="BU4" s="128" t="s">
        <v>246</v>
      </c>
      <c r="BV4" s="129" t="s">
        <v>247</v>
      </c>
      <c r="BW4" s="46" t="s">
        <v>223</v>
      </c>
      <c r="BX4" s="46" t="s">
        <v>248</v>
      </c>
      <c r="BY4" s="46" t="s">
        <v>249</v>
      </c>
      <c r="BZ4" s="46" t="s">
        <v>250</v>
      </c>
      <c r="CA4" s="46" t="s">
        <v>251</v>
      </c>
      <c r="CB4" s="46" t="s">
        <v>252</v>
      </c>
      <c r="CC4" s="127" t="s">
        <v>222</v>
      </c>
      <c r="CD4" s="128" t="s">
        <v>253</v>
      </c>
      <c r="CE4" s="128" t="s">
        <v>254</v>
      </c>
      <c r="CF4" s="128" t="s">
        <v>255</v>
      </c>
      <c r="CG4" s="128" t="s">
        <v>256</v>
      </c>
      <c r="CH4" s="129" t="s">
        <v>257</v>
      </c>
      <c r="CI4" s="46" t="s">
        <v>258</v>
      </c>
      <c r="CJ4" s="46" t="s">
        <v>265</v>
      </c>
      <c r="CK4" s="46" t="s">
        <v>266</v>
      </c>
      <c r="CL4" s="46" t="s">
        <v>267</v>
      </c>
      <c r="CM4" s="46" t="s">
        <v>268</v>
      </c>
      <c r="CN4" s="46" t="s">
        <v>269</v>
      </c>
      <c r="CO4" s="127" t="s">
        <v>264</v>
      </c>
      <c r="CP4" s="128" t="s">
        <v>270</v>
      </c>
      <c r="CQ4" s="128" t="s">
        <v>271</v>
      </c>
      <c r="CR4" s="128" t="s">
        <v>272</v>
      </c>
      <c r="CS4" s="128" t="s">
        <v>273</v>
      </c>
      <c r="CT4" s="129" t="s">
        <v>274</v>
      </c>
      <c r="CU4" s="46" t="s">
        <v>263</v>
      </c>
      <c r="CV4" s="46" t="s">
        <v>275</v>
      </c>
      <c r="CW4" s="46" t="s">
        <v>276</v>
      </c>
      <c r="CX4" s="46" t="s">
        <v>277</v>
      </c>
      <c r="CY4" s="46" t="s">
        <v>278</v>
      </c>
      <c r="CZ4" s="46" t="s">
        <v>279</v>
      </c>
      <c r="DA4" s="127" t="s">
        <v>262</v>
      </c>
      <c r="DB4" s="128" t="s">
        <v>280</v>
      </c>
      <c r="DC4" s="128" t="s">
        <v>281</v>
      </c>
      <c r="DD4" s="128" t="s">
        <v>282</v>
      </c>
      <c r="DE4" s="128" t="s">
        <v>283</v>
      </c>
      <c r="DF4" s="129" t="s">
        <v>284</v>
      </c>
      <c r="DG4" s="46" t="s">
        <v>261</v>
      </c>
      <c r="DH4" s="46" t="s">
        <v>285</v>
      </c>
      <c r="DI4" s="46" t="s">
        <v>286</v>
      </c>
      <c r="DJ4" s="46" t="s">
        <v>287</v>
      </c>
      <c r="DK4" s="46" t="s">
        <v>288</v>
      </c>
      <c r="DL4" s="46" t="s">
        <v>289</v>
      </c>
      <c r="DM4" s="127" t="s">
        <v>260</v>
      </c>
      <c r="DN4" s="128" t="s">
        <v>290</v>
      </c>
      <c r="DO4" s="128" t="s">
        <v>291</v>
      </c>
      <c r="DP4" s="128" t="s">
        <v>292</v>
      </c>
      <c r="DQ4" s="128" t="s">
        <v>293</v>
      </c>
      <c r="DR4" s="129" t="s">
        <v>294</v>
      </c>
      <c r="DS4" s="46" t="s">
        <v>259</v>
      </c>
      <c r="DT4" s="46" t="s">
        <v>295</v>
      </c>
      <c r="DU4" s="46" t="s">
        <v>296</v>
      </c>
      <c r="DV4" s="46" t="s">
        <v>297</v>
      </c>
      <c r="DW4" s="46" t="s">
        <v>298</v>
      </c>
      <c r="DX4" s="46" t="s">
        <v>299</v>
      </c>
      <c r="DY4" s="127" t="s">
        <v>300</v>
      </c>
      <c r="DZ4" s="128" t="s">
        <v>314</v>
      </c>
      <c r="EA4" s="128" t="s">
        <v>315</v>
      </c>
      <c r="EB4" s="128" t="s">
        <v>316</v>
      </c>
      <c r="EC4" s="128" t="s">
        <v>317</v>
      </c>
      <c r="ED4" s="129" t="s">
        <v>318</v>
      </c>
      <c r="EE4" s="46" t="s">
        <v>313</v>
      </c>
      <c r="EF4" s="46" t="s">
        <v>319</v>
      </c>
      <c r="EG4" s="46" t="s">
        <v>320</v>
      </c>
      <c r="EH4" s="46" t="s">
        <v>321</v>
      </c>
      <c r="EI4" s="46" t="s">
        <v>322</v>
      </c>
      <c r="EJ4" s="46" t="s">
        <v>323</v>
      </c>
      <c r="EK4" s="127" t="s">
        <v>312</v>
      </c>
      <c r="EL4" s="128" t="s">
        <v>324</v>
      </c>
      <c r="EM4" s="128" t="s">
        <v>325</v>
      </c>
      <c r="EN4" s="128" t="s">
        <v>326</v>
      </c>
      <c r="EO4" s="128" t="s">
        <v>327</v>
      </c>
      <c r="EP4" s="129" t="s">
        <v>328</v>
      </c>
      <c r="EQ4" s="46" t="s">
        <v>311</v>
      </c>
      <c r="ER4" s="46" t="s">
        <v>329</v>
      </c>
      <c r="ES4" s="46" t="s">
        <v>330</v>
      </c>
      <c r="ET4" s="46" t="s">
        <v>331</v>
      </c>
      <c r="EU4" s="46" t="s">
        <v>332</v>
      </c>
      <c r="EV4" s="46" t="s">
        <v>333</v>
      </c>
      <c r="EW4" s="127" t="s">
        <v>310</v>
      </c>
      <c r="EX4" s="128" t="s">
        <v>334</v>
      </c>
      <c r="EY4" s="128" t="s">
        <v>335</v>
      </c>
      <c r="EZ4" s="128" t="s">
        <v>336</v>
      </c>
      <c r="FA4" s="128" t="s">
        <v>337</v>
      </c>
      <c r="FB4" s="129" t="s">
        <v>338</v>
      </c>
      <c r="FC4" s="46" t="s">
        <v>309</v>
      </c>
      <c r="FD4" s="46" t="s">
        <v>339</v>
      </c>
      <c r="FE4" s="46" t="s">
        <v>340</v>
      </c>
      <c r="FF4" s="46" t="s">
        <v>341</v>
      </c>
      <c r="FG4" s="46" t="s">
        <v>342</v>
      </c>
      <c r="FH4" s="46" t="s">
        <v>343</v>
      </c>
      <c r="FI4" s="127" t="s">
        <v>308</v>
      </c>
      <c r="FJ4" s="128" t="s">
        <v>344</v>
      </c>
      <c r="FK4" s="128" t="s">
        <v>345</v>
      </c>
      <c r="FL4" s="128" t="s">
        <v>346</v>
      </c>
      <c r="FM4" s="128" t="s">
        <v>347</v>
      </c>
      <c r="FN4" s="129" t="s">
        <v>348</v>
      </c>
      <c r="FO4" s="46" t="s">
        <v>301</v>
      </c>
      <c r="FP4" s="46" t="s">
        <v>349</v>
      </c>
      <c r="FQ4" s="46" t="s">
        <v>350</v>
      </c>
      <c r="FR4" s="46" t="s">
        <v>351</v>
      </c>
      <c r="FS4" s="46" t="s">
        <v>352</v>
      </c>
      <c r="FT4" s="46" t="s">
        <v>353</v>
      </c>
      <c r="FU4" s="127" t="s">
        <v>307</v>
      </c>
      <c r="FV4" s="128" t="s">
        <v>354</v>
      </c>
      <c r="FW4" s="128" t="s">
        <v>355</v>
      </c>
      <c r="FX4" s="128" t="s">
        <v>356</v>
      </c>
      <c r="FY4" s="128" t="s">
        <v>357</v>
      </c>
      <c r="FZ4" s="129" t="s">
        <v>358</v>
      </c>
      <c r="GA4" s="46" t="s">
        <v>306</v>
      </c>
      <c r="GB4" s="46" t="s">
        <v>359</v>
      </c>
      <c r="GC4" s="46" t="s">
        <v>360</v>
      </c>
      <c r="GD4" s="46" t="s">
        <v>361</v>
      </c>
      <c r="GE4" s="46" t="s">
        <v>362</v>
      </c>
      <c r="GF4" s="46" t="s">
        <v>363</v>
      </c>
      <c r="GG4" s="127" t="s">
        <v>305</v>
      </c>
      <c r="GH4" s="128" t="s">
        <v>364</v>
      </c>
      <c r="GI4" s="128" t="s">
        <v>365</v>
      </c>
      <c r="GJ4" s="128" t="s">
        <v>366</v>
      </c>
      <c r="GK4" s="128" t="s">
        <v>367</v>
      </c>
      <c r="GL4" s="129" t="s">
        <v>368</v>
      </c>
      <c r="GM4" s="46" t="s">
        <v>304</v>
      </c>
      <c r="GN4" s="46" t="s">
        <v>369</v>
      </c>
      <c r="GO4" s="46" t="s">
        <v>370</v>
      </c>
      <c r="GP4" s="46" t="s">
        <v>371</v>
      </c>
      <c r="GQ4" s="46" t="s">
        <v>372</v>
      </c>
      <c r="GR4" s="46" t="s">
        <v>373</v>
      </c>
      <c r="GS4" s="127" t="s">
        <v>303</v>
      </c>
      <c r="GT4" s="128" t="s">
        <v>374</v>
      </c>
      <c r="GU4" s="128" t="s">
        <v>375</v>
      </c>
      <c r="GV4" s="128" t="s">
        <v>376</v>
      </c>
      <c r="GW4" s="128" t="s">
        <v>377</v>
      </c>
      <c r="GX4" s="129" t="s">
        <v>378</v>
      </c>
      <c r="GY4" s="46" t="s">
        <v>302</v>
      </c>
      <c r="GZ4" s="46" t="s">
        <v>379</v>
      </c>
      <c r="HA4" s="46" t="s">
        <v>380</v>
      </c>
      <c r="HB4" s="46" t="s">
        <v>381</v>
      </c>
      <c r="HC4" s="46" t="s">
        <v>382</v>
      </c>
      <c r="HD4" s="46" t="s">
        <v>383</v>
      </c>
      <c r="HE4" s="127" t="s">
        <v>384</v>
      </c>
      <c r="HF4" s="128" t="s">
        <v>391</v>
      </c>
      <c r="HG4" s="128" t="s">
        <v>392</v>
      </c>
      <c r="HH4" s="128" t="s">
        <v>393</v>
      </c>
      <c r="HI4" s="128" t="s">
        <v>394</v>
      </c>
      <c r="HJ4" s="129" t="s">
        <v>395</v>
      </c>
      <c r="HK4" s="46" t="s">
        <v>390</v>
      </c>
      <c r="HL4" s="46" t="s">
        <v>396</v>
      </c>
      <c r="HM4" s="46" t="s">
        <v>397</v>
      </c>
      <c r="HN4" s="46" t="s">
        <v>398</v>
      </c>
      <c r="HO4" s="46" t="s">
        <v>399</v>
      </c>
      <c r="HP4" s="46" t="s">
        <v>400</v>
      </c>
      <c r="HQ4" s="127" t="s">
        <v>389</v>
      </c>
      <c r="HR4" s="128" t="s">
        <v>401</v>
      </c>
      <c r="HS4" s="128" t="s">
        <v>402</v>
      </c>
      <c r="HT4" s="128" t="s">
        <v>403</v>
      </c>
      <c r="HU4" s="128" t="s">
        <v>404</v>
      </c>
      <c r="HV4" s="129" t="s">
        <v>405</v>
      </c>
      <c r="HW4" s="46" t="s">
        <v>388</v>
      </c>
      <c r="HX4" s="46" t="s">
        <v>406</v>
      </c>
      <c r="HY4" s="46" t="s">
        <v>407</v>
      </c>
      <c r="HZ4" s="46" t="s">
        <v>408</v>
      </c>
      <c r="IA4" s="46" t="s">
        <v>409</v>
      </c>
      <c r="IB4" s="46" t="s">
        <v>410</v>
      </c>
      <c r="IC4" s="127" t="s">
        <v>387</v>
      </c>
      <c r="ID4" s="128" t="s">
        <v>411</v>
      </c>
      <c r="IE4" s="128" t="s">
        <v>412</v>
      </c>
      <c r="IF4" s="128" t="s">
        <v>413</v>
      </c>
      <c r="IG4" s="128" t="s">
        <v>414</v>
      </c>
      <c r="IH4" s="129" t="s">
        <v>415</v>
      </c>
      <c r="II4" s="46" t="s">
        <v>386</v>
      </c>
      <c r="IJ4" s="46" t="s">
        <v>416</v>
      </c>
      <c r="IK4" s="46" t="s">
        <v>417</v>
      </c>
      <c r="IL4" s="46" t="s">
        <v>418</v>
      </c>
      <c r="IM4" s="46" t="s">
        <v>419</v>
      </c>
      <c r="IN4" s="46" t="s">
        <v>420</v>
      </c>
      <c r="IO4" s="127" t="s">
        <v>385</v>
      </c>
      <c r="IP4" s="128" t="s">
        <v>421</v>
      </c>
      <c r="IQ4" s="128" t="s">
        <v>422</v>
      </c>
      <c r="IR4" s="128" t="s">
        <v>423</v>
      </c>
      <c r="IS4" s="128" t="s">
        <v>424</v>
      </c>
      <c r="IT4" s="129" t="s">
        <v>425</v>
      </c>
      <c r="IU4" s="2">
        <v>0</v>
      </c>
    </row>
    <row r="5" spans="1:255" x14ac:dyDescent="0.2">
      <c r="A5">
        <v>1</v>
      </c>
      <c r="B5" s="17">
        <v>0.4</v>
      </c>
      <c r="C5" s="27">
        <v>23</v>
      </c>
      <c r="D5" s="4">
        <v>46</v>
      </c>
      <c r="E5" s="4">
        <v>69</v>
      </c>
      <c r="F5" s="4">
        <v>91</v>
      </c>
      <c r="G5" s="4">
        <v>114</v>
      </c>
      <c r="H5" s="4">
        <v>137</v>
      </c>
      <c r="I5" s="3">
        <v>27</v>
      </c>
      <c r="J5" s="4">
        <v>54</v>
      </c>
      <c r="K5" s="4">
        <v>82</v>
      </c>
      <c r="L5" s="4">
        <v>109</v>
      </c>
      <c r="M5" s="4">
        <v>136</v>
      </c>
      <c r="N5" s="4">
        <v>163</v>
      </c>
      <c r="O5" s="3">
        <v>33</v>
      </c>
      <c r="P5" s="4">
        <v>65</v>
      </c>
      <c r="Q5" s="4">
        <v>98</v>
      </c>
      <c r="R5" s="4">
        <v>130</v>
      </c>
      <c r="S5" s="4">
        <v>163</v>
      </c>
      <c r="T5" s="4">
        <v>195</v>
      </c>
      <c r="U5" s="3">
        <v>40</v>
      </c>
      <c r="V5" s="4">
        <v>79</v>
      </c>
      <c r="W5" s="4">
        <v>119</v>
      </c>
      <c r="X5" s="4">
        <v>158</v>
      </c>
      <c r="Y5" s="4">
        <v>198</v>
      </c>
      <c r="Z5" s="4">
        <v>237</v>
      </c>
      <c r="AA5" s="3">
        <v>46</v>
      </c>
      <c r="AB5" s="4">
        <v>92</v>
      </c>
      <c r="AC5" s="4">
        <v>139</v>
      </c>
      <c r="AD5" s="4">
        <v>185</v>
      </c>
      <c r="AE5" s="4">
        <v>231</v>
      </c>
      <c r="AF5" s="4">
        <v>277</v>
      </c>
      <c r="AG5" s="3">
        <v>55</v>
      </c>
      <c r="AH5" s="4">
        <v>110</v>
      </c>
      <c r="AI5" s="4">
        <v>165</v>
      </c>
      <c r="AJ5" s="4">
        <v>219</v>
      </c>
      <c r="AK5" s="4">
        <v>274</v>
      </c>
      <c r="AL5" s="4">
        <v>329</v>
      </c>
      <c r="AM5" s="3">
        <v>65</v>
      </c>
      <c r="AN5" s="4">
        <v>130</v>
      </c>
      <c r="AO5" s="4">
        <v>195</v>
      </c>
      <c r="AP5" s="4">
        <v>260</v>
      </c>
      <c r="AQ5" s="4">
        <v>325</v>
      </c>
      <c r="AR5" s="5">
        <v>390</v>
      </c>
      <c r="AS5" s="3">
        <v>16</v>
      </c>
      <c r="AT5" s="4">
        <v>32</v>
      </c>
      <c r="AU5" s="4">
        <v>49</v>
      </c>
      <c r="AV5" s="4">
        <v>65</v>
      </c>
      <c r="AW5" s="4">
        <v>81</v>
      </c>
      <c r="AX5" s="4">
        <v>97</v>
      </c>
      <c r="AY5" s="3">
        <v>20</v>
      </c>
      <c r="AZ5" s="4">
        <v>39</v>
      </c>
      <c r="BA5" s="4">
        <v>59</v>
      </c>
      <c r="BB5" s="4">
        <v>78</v>
      </c>
      <c r="BC5" s="4">
        <v>98</v>
      </c>
      <c r="BD5" s="4">
        <v>117</v>
      </c>
      <c r="BE5" s="3">
        <v>23</v>
      </c>
      <c r="BF5" s="4">
        <v>46</v>
      </c>
      <c r="BG5" s="4">
        <v>70</v>
      </c>
      <c r="BH5" s="4">
        <v>93</v>
      </c>
      <c r="BI5" s="4">
        <v>116</v>
      </c>
      <c r="BJ5" s="4">
        <v>139</v>
      </c>
      <c r="BK5" s="3">
        <v>28</v>
      </c>
      <c r="BL5" s="4">
        <v>55</v>
      </c>
      <c r="BM5" s="4">
        <v>83</v>
      </c>
      <c r="BN5" s="4">
        <v>111</v>
      </c>
      <c r="BO5" s="4">
        <v>138</v>
      </c>
      <c r="BP5" s="4">
        <v>166</v>
      </c>
      <c r="BQ5" s="3">
        <v>33</v>
      </c>
      <c r="BR5" s="4">
        <v>66</v>
      </c>
      <c r="BS5" s="4">
        <v>99</v>
      </c>
      <c r="BT5" s="4">
        <v>132</v>
      </c>
      <c r="BU5" s="4">
        <v>165</v>
      </c>
      <c r="BV5" s="4">
        <v>198</v>
      </c>
      <c r="BW5" s="3">
        <v>39</v>
      </c>
      <c r="BX5" s="4">
        <v>79</v>
      </c>
      <c r="BY5" s="4">
        <v>118</v>
      </c>
      <c r="BZ5" s="4">
        <v>157</v>
      </c>
      <c r="CA5" s="4">
        <v>197</v>
      </c>
      <c r="CB5" s="4">
        <v>236</v>
      </c>
      <c r="CC5" s="3">
        <v>47</v>
      </c>
      <c r="CD5" s="4">
        <v>93</v>
      </c>
      <c r="CE5" s="4">
        <v>104</v>
      </c>
      <c r="CF5" s="4">
        <v>186</v>
      </c>
      <c r="CG5" s="4">
        <v>233</v>
      </c>
      <c r="CH5" s="5">
        <v>279</v>
      </c>
      <c r="CI5" s="3">
        <v>12</v>
      </c>
      <c r="CJ5" s="4">
        <v>24</v>
      </c>
      <c r="CK5" s="4">
        <v>37</v>
      </c>
      <c r="CL5" s="4">
        <v>49</v>
      </c>
      <c r="CM5" s="4">
        <v>61</v>
      </c>
      <c r="CN5" s="4">
        <v>73</v>
      </c>
      <c r="CO5" s="3">
        <v>15</v>
      </c>
      <c r="CP5" s="4">
        <v>29</v>
      </c>
      <c r="CQ5" s="4">
        <v>44</v>
      </c>
      <c r="CR5" s="4">
        <v>59</v>
      </c>
      <c r="CS5" s="4">
        <v>73</v>
      </c>
      <c r="CT5" s="4">
        <v>88</v>
      </c>
      <c r="CU5" s="3">
        <v>17</v>
      </c>
      <c r="CV5" s="4">
        <v>35</v>
      </c>
      <c r="CW5" s="4">
        <v>52</v>
      </c>
      <c r="CX5" s="4">
        <v>69</v>
      </c>
      <c r="CY5" s="4">
        <v>87</v>
      </c>
      <c r="CZ5" s="4">
        <v>104</v>
      </c>
      <c r="DA5" s="3">
        <v>21</v>
      </c>
      <c r="DB5" s="4">
        <v>42</v>
      </c>
      <c r="DC5" s="4">
        <v>63</v>
      </c>
      <c r="DD5" s="4">
        <v>83</v>
      </c>
      <c r="DE5" s="4">
        <v>104</v>
      </c>
      <c r="DF5" s="4">
        <v>125</v>
      </c>
      <c r="DG5" s="3">
        <v>25</v>
      </c>
      <c r="DH5" s="4">
        <v>50</v>
      </c>
      <c r="DI5" s="4">
        <v>75</v>
      </c>
      <c r="DJ5" s="4">
        <v>99</v>
      </c>
      <c r="DK5" s="4">
        <v>124</v>
      </c>
      <c r="DL5" s="4">
        <v>149</v>
      </c>
      <c r="DM5" s="3">
        <v>30</v>
      </c>
      <c r="DN5" s="4">
        <v>59</v>
      </c>
      <c r="DO5" s="4">
        <v>89</v>
      </c>
      <c r="DP5" s="4">
        <v>118</v>
      </c>
      <c r="DQ5" s="4">
        <v>148</v>
      </c>
      <c r="DR5" s="4">
        <v>177</v>
      </c>
      <c r="DS5" s="3">
        <v>35</v>
      </c>
      <c r="DT5" s="4">
        <v>70</v>
      </c>
      <c r="DU5" s="4">
        <v>105</v>
      </c>
      <c r="DV5" s="4">
        <v>139</v>
      </c>
      <c r="DW5" s="4">
        <v>174</v>
      </c>
      <c r="DX5" s="5">
        <v>209</v>
      </c>
      <c r="DY5" s="3">
        <v>8</v>
      </c>
      <c r="DZ5" s="4">
        <v>16</v>
      </c>
      <c r="EA5" s="4">
        <v>25</v>
      </c>
      <c r="EB5" s="4">
        <v>33</v>
      </c>
      <c r="EC5" s="4">
        <v>41</v>
      </c>
      <c r="ED5" s="4">
        <v>49</v>
      </c>
      <c r="EE5" s="3">
        <v>10</v>
      </c>
      <c r="EF5" s="4">
        <v>20</v>
      </c>
      <c r="EG5" s="4">
        <v>30</v>
      </c>
      <c r="EH5" s="4">
        <v>39</v>
      </c>
      <c r="EI5" s="4">
        <v>49</v>
      </c>
      <c r="EJ5" s="4">
        <v>59</v>
      </c>
      <c r="EK5" s="3">
        <v>12</v>
      </c>
      <c r="EL5" s="4">
        <v>23</v>
      </c>
      <c r="EM5" s="4">
        <v>35</v>
      </c>
      <c r="EN5" s="4">
        <v>47</v>
      </c>
      <c r="EO5" s="4">
        <v>58</v>
      </c>
      <c r="EP5" s="4">
        <v>70</v>
      </c>
      <c r="EQ5" s="3">
        <v>14</v>
      </c>
      <c r="ER5" s="4">
        <v>28</v>
      </c>
      <c r="ES5" s="4">
        <v>42</v>
      </c>
      <c r="ET5" s="4">
        <v>55</v>
      </c>
      <c r="EU5" s="4">
        <v>69</v>
      </c>
      <c r="EV5" s="4">
        <v>83</v>
      </c>
      <c r="EW5" s="3">
        <v>17</v>
      </c>
      <c r="EX5" s="4">
        <v>33</v>
      </c>
      <c r="EY5" s="4">
        <v>50</v>
      </c>
      <c r="EZ5" s="4">
        <v>66</v>
      </c>
      <c r="FA5" s="4">
        <v>83</v>
      </c>
      <c r="FB5" s="4">
        <v>99</v>
      </c>
      <c r="FC5" s="3">
        <v>20</v>
      </c>
      <c r="FD5" s="4">
        <v>39</v>
      </c>
      <c r="FE5" s="4">
        <v>59</v>
      </c>
      <c r="FF5" s="4">
        <v>79</v>
      </c>
      <c r="FG5" s="4">
        <v>98</v>
      </c>
      <c r="FH5" s="4">
        <v>118</v>
      </c>
      <c r="FI5" s="3">
        <v>23</v>
      </c>
      <c r="FJ5" s="4">
        <v>47</v>
      </c>
      <c r="FK5" s="4">
        <v>70</v>
      </c>
      <c r="FL5" s="4">
        <v>93</v>
      </c>
      <c r="FM5" s="4">
        <v>117</v>
      </c>
      <c r="FN5" s="5">
        <v>140</v>
      </c>
      <c r="FO5" s="3">
        <v>6</v>
      </c>
      <c r="FP5" s="4">
        <v>12</v>
      </c>
      <c r="FQ5" s="4">
        <v>18</v>
      </c>
      <c r="FR5" s="4">
        <v>24</v>
      </c>
      <c r="FS5" s="4">
        <v>30</v>
      </c>
      <c r="FT5" s="4">
        <v>36</v>
      </c>
      <c r="FU5" s="3">
        <v>7</v>
      </c>
      <c r="FV5" s="4">
        <v>15</v>
      </c>
      <c r="FW5" s="4">
        <v>22</v>
      </c>
      <c r="FX5" s="4">
        <v>29</v>
      </c>
      <c r="FY5" s="4">
        <v>37</v>
      </c>
      <c r="FZ5" s="4">
        <v>44</v>
      </c>
      <c r="GA5" s="3">
        <v>9</v>
      </c>
      <c r="GB5" s="4">
        <v>17</v>
      </c>
      <c r="GC5" s="4">
        <v>26</v>
      </c>
      <c r="GD5" s="4">
        <v>35</v>
      </c>
      <c r="GE5" s="4">
        <v>43</v>
      </c>
      <c r="GF5" s="4">
        <v>52</v>
      </c>
      <c r="GG5" s="3">
        <v>10</v>
      </c>
      <c r="GH5" s="4">
        <v>21</v>
      </c>
      <c r="GI5" s="4">
        <v>31</v>
      </c>
      <c r="GJ5" s="4">
        <v>41</v>
      </c>
      <c r="GK5" s="4">
        <v>52</v>
      </c>
      <c r="GL5" s="4">
        <v>62</v>
      </c>
      <c r="GM5" s="3">
        <v>12</v>
      </c>
      <c r="GN5" s="4">
        <v>25</v>
      </c>
      <c r="GO5" s="4">
        <v>37</v>
      </c>
      <c r="GP5" s="4">
        <v>49</v>
      </c>
      <c r="GQ5" s="4">
        <v>62</v>
      </c>
      <c r="GR5" s="4">
        <v>74</v>
      </c>
      <c r="GS5" s="3">
        <v>15</v>
      </c>
      <c r="GT5" s="4">
        <v>30</v>
      </c>
      <c r="GU5" s="4">
        <v>45</v>
      </c>
      <c r="GV5" s="4">
        <v>59</v>
      </c>
      <c r="GW5" s="4">
        <v>74</v>
      </c>
      <c r="GX5" s="4">
        <v>89</v>
      </c>
      <c r="GY5" s="3">
        <v>18</v>
      </c>
      <c r="GZ5" s="4">
        <v>35</v>
      </c>
      <c r="HA5" s="4">
        <v>53</v>
      </c>
      <c r="HB5" s="4">
        <v>70</v>
      </c>
      <c r="HC5" s="4">
        <v>88</v>
      </c>
      <c r="HD5" s="5">
        <v>105</v>
      </c>
      <c r="HE5" s="27">
        <v>4</v>
      </c>
      <c r="HF5" s="4">
        <v>8</v>
      </c>
      <c r="HG5" s="4">
        <v>12</v>
      </c>
      <c r="HH5" s="4">
        <v>16</v>
      </c>
      <c r="HI5" s="4">
        <v>20</v>
      </c>
      <c r="HJ5" s="4">
        <v>24</v>
      </c>
      <c r="HK5" s="3">
        <v>5</v>
      </c>
      <c r="HL5" s="4">
        <v>10</v>
      </c>
      <c r="HM5" s="4">
        <v>15</v>
      </c>
      <c r="HN5" s="4">
        <v>19</v>
      </c>
      <c r="HO5" s="4">
        <v>24</v>
      </c>
      <c r="HP5" s="4">
        <v>29</v>
      </c>
      <c r="HQ5" s="3">
        <v>6</v>
      </c>
      <c r="HR5" s="4">
        <v>12</v>
      </c>
      <c r="HS5" s="4">
        <v>18</v>
      </c>
      <c r="HT5" s="4">
        <v>23</v>
      </c>
      <c r="HU5" s="4">
        <v>29</v>
      </c>
      <c r="HV5" s="4">
        <v>35</v>
      </c>
      <c r="HW5" s="3">
        <v>7</v>
      </c>
      <c r="HX5" s="4">
        <v>14</v>
      </c>
      <c r="HY5" s="4">
        <v>21</v>
      </c>
      <c r="HZ5" s="4">
        <v>28</v>
      </c>
      <c r="IA5" s="4">
        <v>35</v>
      </c>
      <c r="IB5" s="4">
        <v>42</v>
      </c>
      <c r="IC5" s="3">
        <v>8</v>
      </c>
      <c r="ID5" s="4">
        <v>17</v>
      </c>
      <c r="IE5" s="4">
        <v>25</v>
      </c>
      <c r="IF5" s="4">
        <v>33</v>
      </c>
      <c r="IG5" s="4">
        <v>42</v>
      </c>
      <c r="IH5" s="4">
        <v>50</v>
      </c>
      <c r="II5" s="3">
        <v>10</v>
      </c>
      <c r="IJ5" s="4">
        <v>20</v>
      </c>
      <c r="IK5" s="4">
        <v>30</v>
      </c>
      <c r="IL5" s="4">
        <v>39</v>
      </c>
      <c r="IM5" s="4">
        <v>49</v>
      </c>
      <c r="IN5" s="4">
        <v>59</v>
      </c>
      <c r="IO5" s="3">
        <v>12</v>
      </c>
      <c r="IP5" s="4">
        <v>23</v>
      </c>
      <c r="IQ5" s="4">
        <v>35</v>
      </c>
      <c r="IR5" s="4">
        <v>47</v>
      </c>
      <c r="IS5" s="4">
        <v>58</v>
      </c>
      <c r="IT5" s="5">
        <v>70</v>
      </c>
      <c r="IU5" s="191">
        <v>0</v>
      </c>
    </row>
    <row r="6" spans="1:255" x14ac:dyDescent="0.2">
      <c r="A6">
        <v>2</v>
      </c>
      <c r="B6" s="18">
        <v>0.6</v>
      </c>
      <c r="C6" s="28">
        <v>24</v>
      </c>
      <c r="D6" s="6">
        <v>47</v>
      </c>
      <c r="E6" s="12">
        <v>71</v>
      </c>
      <c r="F6" s="12">
        <v>94</v>
      </c>
      <c r="G6" s="6">
        <v>118</v>
      </c>
      <c r="H6" s="12">
        <v>141</v>
      </c>
      <c r="I6" s="1">
        <v>28</v>
      </c>
      <c r="J6" s="12">
        <v>56</v>
      </c>
      <c r="K6" s="12">
        <v>84</v>
      </c>
      <c r="L6" s="12">
        <v>112</v>
      </c>
      <c r="M6" s="12">
        <v>140</v>
      </c>
      <c r="N6" s="12">
        <v>168</v>
      </c>
      <c r="O6" s="1">
        <v>33</v>
      </c>
      <c r="P6" s="12">
        <v>67</v>
      </c>
      <c r="Q6" s="12">
        <v>100</v>
      </c>
      <c r="R6" s="12">
        <v>133</v>
      </c>
      <c r="S6" s="12">
        <v>167</v>
      </c>
      <c r="T6" s="12">
        <v>200</v>
      </c>
      <c r="U6" s="1">
        <v>40</v>
      </c>
      <c r="V6" s="12">
        <v>80</v>
      </c>
      <c r="W6" s="12">
        <v>120</v>
      </c>
      <c r="X6" s="12">
        <v>159</v>
      </c>
      <c r="Y6" s="12">
        <v>199</v>
      </c>
      <c r="Z6" s="12">
        <v>239</v>
      </c>
      <c r="AA6" s="1">
        <v>48</v>
      </c>
      <c r="AB6" s="6">
        <v>95</v>
      </c>
      <c r="AC6" s="6">
        <v>143</v>
      </c>
      <c r="AD6" s="12">
        <v>191</v>
      </c>
      <c r="AE6" s="12">
        <v>238</v>
      </c>
      <c r="AF6" s="12">
        <v>286</v>
      </c>
      <c r="AG6" s="1">
        <v>57</v>
      </c>
      <c r="AH6" s="6">
        <v>114</v>
      </c>
      <c r="AI6" s="12">
        <v>171</v>
      </c>
      <c r="AJ6" s="12">
        <v>228</v>
      </c>
      <c r="AK6" s="12">
        <v>285</v>
      </c>
      <c r="AL6" s="12">
        <v>342</v>
      </c>
      <c r="AM6" s="1">
        <v>68</v>
      </c>
      <c r="AN6" s="12">
        <v>136</v>
      </c>
      <c r="AO6" s="12">
        <v>204</v>
      </c>
      <c r="AP6" s="12">
        <v>271</v>
      </c>
      <c r="AQ6" s="12">
        <v>339</v>
      </c>
      <c r="AR6" s="7">
        <v>407</v>
      </c>
      <c r="AS6" s="1">
        <v>17</v>
      </c>
      <c r="AT6" s="6">
        <v>33</v>
      </c>
      <c r="AU6" s="6">
        <v>50</v>
      </c>
      <c r="AV6" s="12">
        <v>67</v>
      </c>
      <c r="AW6" s="12">
        <v>83</v>
      </c>
      <c r="AX6" s="12">
        <v>100</v>
      </c>
      <c r="AY6" s="1">
        <v>20</v>
      </c>
      <c r="AZ6" s="12">
        <v>40</v>
      </c>
      <c r="BA6" s="12">
        <v>60</v>
      </c>
      <c r="BB6" s="12">
        <v>80</v>
      </c>
      <c r="BC6" s="12">
        <v>100</v>
      </c>
      <c r="BD6" s="12">
        <v>120</v>
      </c>
      <c r="BE6" s="1">
        <v>24</v>
      </c>
      <c r="BF6" s="12">
        <v>48</v>
      </c>
      <c r="BG6" s="12">
        <v>72</v>
      </c>
      <c r="BH6" s="12">
        <v>95</v>
      </c>
      <c r="BI6" s="12">
        <v>119</v>
      </c>
      <c r="BJ6" s="12">
        <v>143</v>
      </c>
      <c r="BK6" s="1">
        <v>29</v>
      </c>
      <c r="BL6" s="6">
        <v>57</v>
      </c>
      <c r="BM6" s="6">
        <v>86</v>
      </c>
      <c r="BN6" s="6">
        <v>114</v>
      </c>
      <c r="BO6" s="6">
        <v>143</v>
      </c>
      <c r="BP6" s="6">
        <v>171</v>
      </c>
      <c r="BQ6" s="1">
        <v>34</v>
      </c>
      <c r="BR6" s="6">
        <v>68</v>
      </c>
      <c r="BS6" s="6">
        <v>102</v>
      </c>
      <c r="BT6" s="12">
        <v>136</v>
      </c>
      <c r="BU6" s="12">
        <v>170</v>
      </c>
      <c r="BV6" s="12">
        <v>204</v>
      </c>
      <c r="BW6" s="1">
        <v>41</v>
      </c>
      <c r="BX6" s="6">
        <v>81</v>
      </c>
      <c r="BY6" s="12">
        <v>122</v>
      </c>
      <c r="BZ6" s="12">
        <v>163</v>
      </c>
      <c r="CA6" s="12">
        <v>203</v>
      </c>
      <c r="CB6" s="12">
        <v>244</v>
      </c>
      <c r="CC6" s="1">
        <v>48</v>
      </c>
      <c r="CD6" s="12">
        <v>97</v>
      </c>
      <c r="CE6" s="12">
        <v>146</v>
      </c>
      <c r="CF6" s="12">
        <v>194</v>
      </c>
      <c r="CG6" s="12">
        <v>243</v>
      </c>
      <c r="CH6" s="7">
        <v>291</v>
      </c>
      <c r="CI6" s="1">
        <v>13</v>
      </c>
      <c r="CJ6" s="12">
        <v>25</v>
      </c>
      <c r="CK6" s="12">
        <v>38</v>
      </c>
      <c r="CL6" s="12">
        <v>50</v>
      </c>
      <c r="CM6" s="12">
        <v>63</v>
      </c>
      <c r="CN6" s="12">
        <v>75</v>
      </c>
      <c r="CO6" s="1">
        <v>15</v>
      </c>
      <c r="CP6" s="6">
        <v>30</v>
      </c>
      <c r="CQ6" s="12">
        <v>45</v>
      </c>
      <c r="CR6" s="12">
        <v>60</v>
      </c>
      <c r="CS6" s="12">
        <v>75</v>
      </c>
      <c r="CT6" s="12">
        <v>90</v>
      </c>
      <c r="CU6" s="1">
        <v>18</v>
      </c>
      <c r="CV6" s="6">
        <v>36</v>
      </c>
      <c r="CW6" s="12">
        <v>54</v>
      </c>
      <c r="CX6" s="12">
        <v>71</v>
      </c>
      <c r="CY6" s="12">
        <v>89</v>
      </c>
      <c r="CZ6" s="12">
        <v>107</v>
      </c>
      <c r="DA6" s="1">
        <v>21</v>
      </c>
      <c r="DB6" s="6">
        <v>43</v>
      </c>
      <c r="DC6" s="12">
        <v>64</v>
      </c>
      <c r="DD6" s="12">
        <v>85</v>
      </c>
      <c r="DE6" s="12">
        <v>107</v>
      </c>
      <c r="DF6" s="12">
        <v>128</v>
      </c>
      <c r="DG6" s="1">
        <v>26</v>
      </c>
      <c r="DH6" s="6">
        <v>51</v>
      </c>
      <c r="DI6" s="12">
        <v>77</v>
      </c>
      <c r="DJ6" s="12">
        <v>102</v>
      </c>
      <c r="DK6" s="12">
        <v>128</v>
      </c>
      <c r="DL6" s="12">
        <v>153</v>
      </c>
      <c r="DM6" s="1">
        <v>31</v>
      </c>
      <c r="DN6" s="6">
        <v>61</v>
      </c>
      <c r="DO6" s="12">
        <v>92</v>
      </c>
      <c r="DP6" s="12">
        <v>122</v>
      </c>
      <c r="DQ6" s="12">
        <v>153</v>
      </c>
      <c r="DR6" s="12">
        <v>183</v>
      </c>
      <c r="DS6" s="1">
        <v>36</v>
      </c>
      <c r="DT6" s="6">
        <v>73</v>
      </c>
      <c r="DU6" s="12">
        <v>109</v>
      </c>
      <c r="DV6" s="12">
        <v>145</v>
      </c>
      <c r="DW6" s="12">
        <v>182</v>
      </c>
      <c r="DX6" s="7">
        <v>218</v>
      </c>
      <c r="DY6" s="1">
        <v>8</v>
      </c>
      <c r="DZ6" s="6">
        <v>17</v>
      </c>
      <c r="EA6" s="6">
        <v>25</v>
      </c>
      <c r="EB6" s="12">
        <v>33</v>
      </c>
      <c r="EC6" s="12">
        <v>42</v>
      </c>
      <c r="ED6" s="12">
        <v>50</v>
      </c>
      <c r="EE6" s="1">
        <v>10</v>
      </c>
      <c r="EF6" s="6">
        <v>20</v>
      </c>
      <c r="EG6" s="12">
        <v>30</v>
      </c>
      <c r="EH6" s="12">
        <v>40</v>
      </c>
      <c r="EI6" s="12">
        <v>50</v>
      </c>
      <c r="EJ6" s="12">
        <v>60</v>
      </c>
      <c r="EK6" s="1">
        <v>12</v>
      </c>
      <c r="EL6" s="6">
        <v>24</v>
      </c>
      <c r="EM6" s="12">
        <v>36</v>
      </c>
      <c r="EN6" s="12">
        <v>48</v>
      </c>
      <c r="EO6" s="12">
        <v>60</v>
      </c>
      <c r="EP6" s="12">
        <v>72</v>
      </c>
      <c r="EQ6" s="1">
        <v>14</v>
      </c>
      <c r="ER6" s="6">
        <v>29</v>
      </c>
      <c r="ES6" s="12">
        <v>43</v>
      </c>
      <c r="ET6" s="12">
        <v>57</v>
      </c>
      <c r="EU6" s="12">
        <v>72</v>
      </c>
      <c r="EV6" s="12">
        <v>86</v>
      </c>
      <c r="EW6" s="1">
        <v>17</v>
      </c>
      <c r="EX6" s="6">
        <v>34</v>
      </c>
      <c r="EY6" s="12">
        <v>51</v>
      </c>
      <c r="EZ6" s="12">
        <v>68</v>
      </c>
      <c r="FA6" s="12">
        <v>85</v>
      </c>
      <c r="FB6" s="12">
        <v>102</v>
      </c>
      <c r="FC6" s="1">
        <v>20</v>
      </c>
      <c r="FD6" s="6">
        <v>41</v>
      </c>
      <c r="FE6" s="12">
        <v>61</v>
      </c>
      <c r="FF6" s="12">
        <v>81</v>
      </c>
      <c r="FG6" s="12">
        <v>102</v>
      </c>
      <c r="FH6" s="12">
        <v>122</v>
      </c>
      <c r="FI6" s="1">
        <v>24</v>
      </c>
      <c r="FJ6" s="6">
        <v>49</v>
      </c>
      <c r="FK6" s="12">
        <v>73</v>
      </c>
      <c r="FL6" s="12">
        <v>97</v>
      </c>
      <c r="FM6" s="12">
        <v>122</v>
      </c>
      <c r="FN6" s="7">
        <v>146</v>
      </c>
      <c r="FO6" s="1">
        <v>6</v>
      </c>
      <c r="FP6" s="6">
        <v>13</v>
      </c>
      <c r="FQ6" s="12">
        <v>19</v>
      </c>
      <c r="FR6" s="12">
        <v>25</v>
      </c>
      <c r="FS6" s="12">
        <v>32</v>
      </c>
      <c r="FT6" s="12">
        <v>38</v>
      </c>
      <c r="FU6" s="1">
        <v>8</v>
      </c>
      <c r="FV6" s="6">
        <v>15</v>
      </c>
      <c r="FW6" s="12">
        <v>23</v>
      </c>
      <c r="FX6" s="12">
        <v>30</v>
      </c>
      <c r="FY6" s="12">
        <v>38</v>
      </c>
      <c r="FZ6" s="12">
        <v>45</v>
      </c>
      <c r="GA6" s="1">
        <v>9</v>
      </c>
      <c r="GB6" s="6">
        <v>18</v>
      </c>
      <c r="GC6" s="12">
        <v>27</v>
      </c>
      <c r="GD6" s="12">
        <v>36</v>
      </c>
      <c r="GE6" s="12">
        <v>45</v>
      </c>
      <c r="GF6" s="12">
        <v>54</v>
      </c>
      <c r="GG6" s="1">
        <v>11</v>
      </c>
      <c r="GH6" s="6">
        <v>21</v>
      </c>
      <c r="GI6" s="12">
        <v>32</v>
      </c>
      <c r="GJ6" s="12">
        <v>43</v>
      </c>
      <c r="GK6" s="12">
        <v>53</v>
      </c>
      <c r="GL6" s="12">
        <v>64</v>
      </c>
      <c r="GM6" s="1">
        <v>13</v>
      </c>
      <c r="GN6" s="6">
        <v>26</v>
      </c>
      <c r="GO6" s="12">
        <v>39</v>
      </c>
      <c r="GP6" s="12">
        <v>51</v>
      </c>
      <c r="GQ6" s="12">
        <v>64</v>
      </c>
      <c r="GR6" s="12">
        <v>77</v>
      </c>
      <c r="GS6" s="1">
        <v>15</v>
      </c>
      <c r="GT6" s="6">
        <v>31</v>
      </c>
      <c r="GU6" s="12">
        <v>46</v>
      </c>
      <c r="GV6" s="12">
        <v>61</v>
      </c>
      <c r="GW6" s="12">
        <v>77</v>
      </c>
      <c r="GX6" s="12">
        <v>92</v>
      </c>
      <c r="GY6" s="1">
        <v>18</v>
      </c>
      <c r="GZ6" s="6">
        <v>36</v>
      </c>
      <c r="HA6" s="6">
        <v>55</v>
      </c>
      <c r="HB6" s="12">
        <v>73</v>
      </c>
      <c r="HC6" s="6">
        <v>91</v>
      </c>
      <c r="HD6" s="7">
        <v>109</v>
      </c>
      <c r="HE6" s="28">
        <v>4</v>
      </c>
      <c r="HF6" s="12">
        <v>8</v>
      </c>
      <c r="HG6" s="12">
        <v>13</v>
      </c>
      <c r="HH6" s="12">
        <v>17</v>
      </c>
      <c r="HI6" s="12">
        <v>21</v>
      </c>
      <c r="HJ6" s="12">
        <v>25</v>
      </c>
      <c r="HK6" s="1">
        <v>5</v>
      </c>
      <c r="HL6" s="6">
        <v>10</v>
      </c>
      <c r="HM6" s="12">
        <v>15</v>
      </c>
      <c r="HN6" s="12">
        <v>20</v>
      </c>
      <c r="HO6" s="12">
        <v>25</v>
      </c>
      <c r="HP6" s="12">
        <v>30</v>
      </c>
      <c r="HQ6" s="1">
        <v>6</v>
      </c>
      <c r="HR6" s="6">
        <v>12</v>
      </c>
      <c r="HS6" s="12">
        <v>18</v>
      </c>
      <c r="HT6" s="12">
        <v>24</v>
      </c>
      <c r="HU6" s="12">
        <v>30</v>
      </c>
      <c r="HV6" s="12">
        <v>36</v>
      </c>
      <c r="HW6" s="1">
        <v>7</v>
      </c>
      <c r="HX6" s="6">
        <v>14</v>
      </c>
      <c r="HY6" s="12">
        <v>22</v>
      </c>
      <c r="HZ6" s="12">
        <v>29</v>
      </c>
      <c r="IA6" s="6">
        <v>36</v>
      </c>
      <c r="IB6" s="12">
        <v>43</v>
      </c>
      <c r="IC6" s="1">
        <v>9</v>
      </c>
      <c r="ID6" s="6">
        <v>17</v>
      </c>
      <c r="IE6" s="12">
        <v>26</v>
      </c>
      <c r="IF6" s="12">
        <v>34</v>
      </c>
      <c r="IG6" s="12">
        <v>43</v>
      </c>
      <c r="IH6" s="12">
        <v>51</v>
      </c>
      <c r="II6" s="1">
        <v>10</v>
      </c>
      <c r="IJ6" s="6">
        <v>20</v>
      </c>
      <c r="IK6" s="6">
        <v>31</v>
      </c>
      <c r="IL6" s="12">
        <v>41</v>
      </c>
      <c r="IM6" s="6">
        <v>51</v>
      </c>
      <c r="IN6" s="6">
        <v>61</v>
      </c>
      <c r="IO6" s="1">
        <v>12</v>
      </c>
      <c r="IP6" s="6">
        <v>24</v>
      </c>
      <c r="IQ6" s="6">
        <v>37</v>
      </c>
      <c r="IR6" s="6">
        <v>49</v>
      </c>
      <c r="IS6" s="6">
        <v>61</v>
      </c>
      <c r="IT6" s="7">
        <v>73</v>
      </c>
      <c r="IU6" s="191">
        <v>0</v>
      </c>
    </row>
    <row r="7" spans="1:255" x14ac:dyDescent="0.2">
      <c r="A7">
        <v>3</v>
      </c>
      <c r="B7" s="18">
        <v>0.8</v>
      </c>
      <c r="C7" s="28">
        <v>24</v>
      </c>
      <c r="D7" s="6">
        <v>48</v>
      </c>
      <c r="E7" s="12">
        <v>70</v>
      </c>
      <c r="F7" s="12">
        <v>97</v>
      </c>
      <c r="G7" s="6">
        <v>121</v>
      </c>
      <c r="H7" s="12">
        <v>145</v>
      </c>
      <c r="I7" s="1">
        <v>29</v>
      </c>
      <c r="J7" s="12">
        <v>57</v>
      </c>
      <c r="K7" s="12">
        <v>86</v>
      </c>
      <c r="L7" s="12">
        <v>115</v>
      </c>
      <c r="M7" s="12">
        <v>143</v>
      </c>
      <c r="N7" s="12">
        <v>172</v>
      </c>
      <c r="O7" s="1">
        <v>34</v>
      </c>
      <c r="P7" s="12">
        <v>68</v>
      </c>
      <c r="Q7" s="12">
        <v>103</v>
      </c>
      <c r="R7" s="12">
        <v>137</v>
      </c>
      <c r="S7" s="12">
        <v>171</v>
      </c>
      <c r="T7" s="12">
        <v>205</v>
      </c>
      <c r="U7" s="1">
        <v>41</v>
      </c>
      <c r="V7" s="12">
        <v>82</v>
      </c>
      <c r="W7" s="12">
        <v>123</v>
      </c>
      <c r="X7" s="12">
        <v>164</v>
      </c>
      <c r="Y7" s="12">
        <v>205</v>
      </c>
      <c r="Z7" s="12">
        <v>246</v>
      </c>
      <c r="AA7" s="1">
        <v>49</v>
      </c>
      <c r="AB7" s="6">
        <v>98</v>
      </c>
      <c r="AC7" s="6">
        <v>148</v>
      </c>
      <c r="AD7" s="12">
        <v>197</v>
      </c>
      <c r="AE7" s="12">
        <v>246</v>
      </c>
      <c r="AF7" s="12">
        <v>295</v>
      </c>
      <c r="AG7" s="1">
        <v>59</v>
      </c>
      <c r="AH7" s="6">
        <v>118</v>
      </c>
      <c r="AI7" s="12">
        <v>177</v>
      </c>
      <c r="AJ7" s="12">
        <v>236</v>
      </c>
      <c r="AK7" s="12">
        <v>295</v>
      </c>
      <c r="AL7" s="12">
        <v>354</v>
      </c>
      <c r="AM7" s="1">
        <v>70</v>
      </c>
      <c r="AN7" s="12">
        <v>141</v>
      </c>
      <c r="AO7" s="12">
        <v>211</v>
      </c>
      <c r="AP7" s="12">
        <v>281</v>
      </c>
      <c r="AQ7" s="12">
        <v>352</v>
      </c>
      <c r="AR7" s="7">
        <v>422</v>
      </c>
      <c r="AS7" s="1">
        <v>17</v>
      </c>
      <c r="AT7" s="6">
        <v>34</v>
      </c>
      <c r="AU7" s="6">
        <v>52</v>
      </c>
      <c r="AV7" s="12">
        <v>69</v>
      </c>
      <c r="AW7" s="12">
        <v>86</v>
      </c>
      <c r="AX7" s="12">
        <v>103</v>
      </c>
      <c r="AY7" s="1">
        <v>20</v>
      </c>
      <c r="AZ7" s="12">
        <v>41</v>
      </c>
      <c r="BA7" s="12">
        <v>61</v>
      </c>
      <c r="BB7" s="12">
        <v>81</v>
      </c>
      <c r="BC7" s="12">
        <v>102</v>
      </c>
      <c r="BD7" s="12">
        <v>122</v>
      </c>
      <c r="BE7" s="1">
        <v>24</v>
      </c>
      <c r="BF7" s="12">
        <v>49</v>
      </c>
      <c r="BG7" s="12">
        <v>73</v>
      </c>
      <c r="BH7" s="12">
        <v>97</v>
      </c>
      <c r="BI7" s="12">
        <v>122</v>
      </c>
      <c r="BJ7" s="12">
        <v>146</v>
      </c>
      <c r="BK7" s="1">
        <v>29</v>
      </c>
      <c r="BL7" s="6">
        <v>58</v>
      </c>
      <c r="BM7" s="6">
        <v>88</v>
      </c>
      <c r="BN7" s="6">
        <v>117</v>
      </c>
      <c r="BO7" s="6">
        <v>146</v>
      </c>
      <c r="BP7" s="6">
        <v>175</v>
      </c>
      <c r="BQ7" s="1">
        <v>35</v>
      </c>
      <c r="BR7" s="6">
        <v>70</v>
      </c>
      <c r="BS7" s="6">
        <v>105</v>
      </c>
      <c r="BT7" s="12">
        <v>140</v>
      </c>
      <c r="BU7" s="12">
        <v>175</v>
      </c>
      <c r="BV7" s="12">
        <v>210</v>
      </c>
      <c r="BW7" s="1">
        <v>42</v>
      </c>
      <c r="BX7" s="6">
        <v>84</v>
      </c>
      <c r="BY7" s="12">
        <v>126</v>
      </c>
      <c r="BZ7" s="12">
        <v>168</v>
      </c>
      <c r="CA7" s="12">
        <v>210</v>
      </c>
      <c r="CB7" s="12">
        <v>252</v>
      </c>
      <c r="CC7" s="1">
        <v>50</v>
      </c>
      <c r="CD7" s="12">
        <v>100</v>
      </c>
      <c r="CE7" s="12">
        <v>151</v>
      </c>
      <c r="CF7" s="12">
        <v>201</v>
      </c>
      <c r="CG7" s="12">
        <v>251</v>
      </c>
      <c r="CH7" s="7">
        <v>301</v>
      </c>
      <c r="CI7" s="1">
        <v>13</v>
      </c>
      <c r="CJ7" s="12">
        <v>26</v>
      </c>
      <c r="CK7" s="12">
        <v>39</v>
      </c>
      <c r="CL7" s="12">
        <v>52</v>
      </c>
      <c r="CM7" s="12">
        <v>65</v>
      </c>
      <c r="CN7" s="12">
        <v>78</v>
      </c>
      <c r="CO7" s="1">
        <v>15</v>
      </c>
      <c r="CP7" s="6">
        <v>31</v>
      </c>
      <c r="CQ7" s="12">
        <v>46</v>
      </c>
      <c r="CR7" s="12">
        <v>61</v>
      </c>
      <c r="CS7" s="12">
        <v>77</v>
      </c>
      <c r="CT7" s="12">
        <v>92</v>
      </c>
      <c r="CU7" s="1">
        <v>18</v>
      </c>
      <c r="CV7" s="6">
        <v>37</v>
      </c>
      <c r="CW7" s="12">
        <v>55</v>
      </c>
      <c r="CX7" s="12">
        <v>73</v>
      </c>
      <c r="CY7" s="12">
        <v>92</v>
      </c>
      <c r="CZ7" s="12">
        <v>110</v>
      </c>
      <c r="DA7" s="1">
        <v>22</v>
      </c>
      <c r="DB7" s="6">
        <v>44</v>
      </c>
      <c r="DC7" s="12">
        <v>66</v>
      </c>
      <c r="DD7" s="12">
        <v>87</v>
      </c>
      <c r="DE7" s="12">
        <v>109</v>
      </c>
      <c r="DF7" s="12">
        <v>131</v>
      </c>
      <c r="DG7" s="1">
        <v>26</v>
      </c>
      <c r="DH7" s="6">
        <v>53</v>
      </c>
      <c r="DI7" s="12">
        <v>79</v>
      </c>
      <c r="DJ7" s="12">
        <v>105</v>
      </c>
      <c r="DK7" s="12">
        <v>132</v>
      </c>
      <c r="DL7" s="12">
        <v>158</v>
      </c>
      <c r="DM7" s="1">
        <v>32</v>
      </c>
      <c r="DN7" s="6">
        <v>63</v>
      </c>
      <c r="DO7" s="12">
        <v>95</v>
      </c>
      <c r="DP7" s="12">
        <v>126</v>
      </c>
      <c r="DQ7" s="12">
        <v>158</v>
      </c>
      <c r="DR7" s="12">
        <v>189</v>
      </c>
      <c r="DS7" s="1">
        <v>38</v>
      </c>
      <c r="DT7" s="6">
        <v>75</v>
      </c>
      <c r="DU7" s="12">
        <v>113</v>
      </c>
      <c r="DV7" s="12">
        <v>151</v>
      </c>
      <c r="DW7" s="12">
        <v>188</v>
      </c>
      <c r="DX7" s="7">
        <v>226</v>
      </c>
      <c r="DY7" s="1">
        <v>9</v>
      </c>
      <c r="DZ7" s="6">
        <v>17</v>
      </c>
      <c r="EA7" s="6">
        <v>26</v>
      </c>
      <c r="EB7" s="12">
        <v>35</v>
      </c>
      <c r="EC7" s="12">
        <v>43</v>
      </c>
      <c r="ED7" s="12">
        <v>52</v>
      </c>
      <c r="EE7" s="1">
        <v>10</v>
      </c>
      <c r="EF7" s="6">
        <v>20</v>
      </c>
      <c r="EG7" s="12">
        <v>31</v>
      </c>
      <c r="EH7" s="12">
        <v>41</v>
      </c>
      <c r="EI7" s="12">
        <v>51</v>
      </c>
      <c r="EJ7" s="12">
        <v>61</v>
      </c>
      <c r="EK7" s="1">
        <v>12</v>
      </c>
      <c r="EL7" s="6">
        <v>24</v>
      </c>
      <c r="EM7" s="12">
        <v>37</v>
      </c>
      <c r="EN7" s="12">
        <v>49</v>
      </c>
      <c r="EO7" s="12">
        <v>61</v>
      </c>
      <c r="EP7" s="12">
        <v>73</v>
      </c>
      <c r="EQ7" s="1">
        <v>15</v>
      </c>
      <c r="ER7" s="6">
        <v>29</v>
      </c>
      <c r="ES7" s="12">
        <v>44</v>
      </c>
      <c r="ET7" s="12">
        <v>59</v>
      </c>
      <c r="EU7" s="12">
        <v>73</v>
      </c>
      <c r="EV7" s="12">
        <v>88</v>
      </c>
      <c r="EW7" s="1">
        <v>18</v>
      </c>
      <c r="EX7" s="6">
        <v>35</v>
      </c>
      <c r="EY7" s="12">
        <v>53</v>
      </c>
      <c r="EZ7" s="12">
        <v>70</v>
      </c>
      <c r="FA7" s="12">
        <v>88</v>
      </c>
      <c r="FB7" s="12">
        <v>105</v>
      </c>
      <c r="FC7" s="1">
        <v>21</v>
      </c>
      <c r="FD7" s="6">
        <v>42</v>
      </c>
      <c r="FE7" s="12">
        <v>63</v>
      </c>
      <c r="FF7" s="12">
        <v>84</v>
      </c>
      <c r="FG7" s="12">
        <v>105</v>
      </c>
      <c r="FH7" s="12">
        <v>126</v>
      </c>
      <c r="FI7" s="1">
        <v>25</v>
      </c>
      <c r="FJ7" s="6">
        <v>50</v>
      </c>
      <c r="FK7" s="12">
        <v>76</v>
      </c>
      <c r="FL7" s="12">
        <v>101</v>
      </c>
      <c r="FM7" s="12">
        <v>126</v>
      </c>
      <c r="FN7" s="7">
        <v>151</v>
      </c>
      <c r="FO7" s="1">
        <v>7</v>
      </c>
      <c r="FP7" s="6">
        <v>13</v>
      </c>
      <c r="FQ7" s="12">
        <v>20</v>
      </c>
      <c r="FR7" s="12">
        <v>26</v>
      </c>
      <c r="FS7" s="12">
        <v>33</v>
      </c>
      <c r="FT7" s="12">
        <v>39</v>
      </c>
      <c r="FU7" s="1">
        <v>8</v>
      </c>
      <c r="FV7" s="6">
        <v>15</v>
      </c>
      <c r="FW7" s="12">
        <v>23</v>
      </c>
      <c r="FX7" s="12">
        <v>31</v>
      </c>
      <c r="FY7" s="12">
        <v>38</v>
      </c>
      <c r="FZ7" s="12">
        <v>46</v>
      </c>
      <c r="GA7" s="1">
        <v>9</v>
      </c>
      <c r="GB7" s="6">
        <v>18</v>
      </c>
      <c r="GC7" s="12">
        <v>28</v>
      </c>
      <c r="GD7" s="12">
        <v>37</v>
      </c>
      <c r="GE7" s="12">
        <v>46</v>
      </c>
      <c r="GF7" s="12">
        <v>55</v>
      </c>
      <c r="GG7" s="1">
        <v>11</v>
      </c>
      <c r="GH7" s="6">
        <v>22</v>
      </c>
      <c r="GI7" s="12">
        <v>33</v>
      </c>
      <c r="GJ7" s="12">
        <v>44</v>
      </c>
      <c r="GK7" s="12">
        <v>55</v>
      </c>
      <c r="GL7" s="12">
        <v>66</v>
      </c>
      <c r="GM7" s="1">
        <v>13</v>
      </c>
      <c r="GN7" s="6">
        <v>26</v>
      </c>
      <c r="GO7" s="12">
        <v>40</v>
      </c>
      <c r="GP7" s="12">
        <v>53</v>
      </c>
      <c r="GQ7" s="12">
        <v>66</v>
      </c>
      <c r="GR7" s="12">
        <v>79</v>
      </c>
      <c r="GS7" s="1">
        <v>16</v>
      </c>
      <c r="GT7" s="6">
        <v>32</v>
      </c>
      <c r="GU7" s="12">
        <v>48</v>
      </c>
      <c r="GV7" s="12">
        <v>63</v>
      </c>
      <c r="GW7" s="12">
        <v>79</v>
      </c>
      <c r="GX7" s="12">
        <v>95</v>
      </c>
      <c r="GY7" s="1">
        <v>19</v>
      </c>
      <c r="GZ7" s="6">
        <v>38</v>
      </c>
      <c r="HA7" s="6">
        <v>57</v>
      </c>
      <c r="HB7" s="12">
        <v>75</v>
      </c>
      <c r="HC7" s="6">
        <v>94</v>
      </c>
      <c r="HD7" s="7">
        <v>113</v>
      </c>
      <c r="HE7" s="28">
        <v>4</v>
      </c>
      <c r="HF7" s="12">
        <v>9</v>
      </c>
      <c r="HG7" s="12">
        <v>13</v>
      </c>
      <c r="HH7" s="12">
        <v>17</v>
      </c>
      <c r="HI7" s="12">
        <v>22</v>
      </c>
      <c r="HJ7" s="12">
        <v>26</v>
      </c>
      <c r="HK7" s="1">
        <v>5</v>
      </c>
      <c r="HL7" s="6">
        <v>10</v>
      </c>
      <c r="HM7" s="12">
        <v>16</v>
      </c>
      <c r="HN7" s="12">
        <v>21</v>
      </c>
      <c r="HO7" s="12">
        <v>26</v>
      </c>
      <c r="HP7" s="12">
        <v>31</v>
      </c>
      <c r="HQ7" s="1">
        <v>6</v>
      </c>
      <c r="HR7" s="6">
        <v>12</v>
      </c>
      <c r="HS7" s="12">
        <v>19</v>
      </c>
      <c r="HT7" s="12">
        <v>25</v>
      </c>
      <c r="HU7" s="12">
        <v>31</v>
      </c>
      <c r="HV7" s="12">
        <v>37</v>
      </c>
      <c r="HW7" s="1">
        <v>7</v>
      </c>
      <c r="HX7" s="6">
        <v>15</v>
      </c>
      <c r="HY7" s="12">
        <v>22</v>
      </c>
      <c r="HZ7" s="12">
        <v>29</v>
      </c>
      <c r="IA7" s="6">
        <v>37</v>
      </c>
      <c r="IB7" s="12">
        <v>44</v>
      </c>
      <c r="IC7" s="1">
        <v>9</v>
      </c>
      <c r="ID7" s="6">
        <v>18</v>
      </c>
      <c r="IE7" s="12">
        <v>27</v>
      </c>
      <c r="IF7" s="12">
        <v>35</v>
      </c>
      <c r="IG7" s="12">
        <v>44</v>
      </c>
      <c r="IH7" s="12">
        <v>53</v>
      </c>
      <c r="II7" s="1">
        <v>11</v>
      </c>
      <c r="IJ7" s="6">
        <v>21</v>
      </c>
      <c r="IK7" s="6">
        <v>32</v>
      </c>
      <c r="IL7" s="12">
        <v>42</v>
      </c>
      <c r="IM7" s="6">
        <v>53</v>
      </c>
      <c r="IN7" s="6">
        <v>63</v>
      </c>
      <c r="IO7" s="1">
        <v>13</v>
      </c>
      <c r="IP7" s="6">
        <v>25</v>
      </c>
      <c r="IQ7" s="6">
        <v>38</v>
      </c>
      <c r="IR7" s="6">
        <v>50</v>
      </c>
      <c r="IS7" s="6">
        <v>63</v>
      </c>
      <c r="IT7" s="7">
        <v>75</v>
      </c>
      <c r="IU7" s="191">
        <v>0</v>
      </c>
    </row>
    <row r="8" spans="1:255" x14ac:dyDescent="0.2">
      <c r="A8">
        <v>4</v>
      </c>
      <c r="B8" s="18">
        <v>1</v>
      </c>
      <c r="C8" s="28">
        <v>25</v>
      </c>
      <c r="D8" s="12">
        <v>49</v>
      </c>
      <c r="E8" s="12">
        <v>74</v>
      </c>
      <c r="F8" s="12">
        <v>99</v>
      </c>
      <c r="G8" s="6">
        <v>123</v>
      </c>
      <c r="H8" s="12">
        <v>148</v>
      </c>
      <c r="I8" s="1">
        <v>29</v>
      </c>
      <c r="J8" s="12">
        <v>59</v>
      </c>
      <c r="K8" s="12">
        <v>88</v>
      </c>
      <c r="L8" s="12">
        <v>117</v>
      </c>
      <c r="M8" s="12">
        <v>147</v>
      </c>
      <c r="N8" s="12">
        <v>176</v>
      </c>
      <c r="O8" s="1">
        <v>35</v>
      </c>
      <c r="P8" s="12">
        <v>70</v>
      </c>
      <c r="Q8" s="12">
        <v>105</v>
      </c>
      <c r="R8" s="12">
        <v>140</v>
      </c>
      <c r="S8" s="12">
        <v>175</v>
      </c>
      <c r="T8" s="12">
        <v>210</v>
      </c>
      <c r="U8" s="1">
        <v>42</v>
      </c>
      <c r="V8" s="12">
        <v>84</v>
      </c>
      <c r="W8" s="12">
        <v>127</v>
      </c>
      <c r="X8" s="12">
        <v>169</v>
      </c>
      <c r="Y8" s="12">
        <v>211</v>
      </c>
      <c r="Z8" s="12">
        <v>253</v>
      </c>
      <c r="AA8" s="1">
        <v>51</v>
      </c>
      <c r="AB8" s="12">
        <v>101</v>
      </c>
      <c r="AC8" s="12">
        <v>152</v>
      </c>
      <c r="AD8" s="12">
        <v>203</v>
      </c>
      <c r="AE8" s="12">
        <v>253</v>
      </c>
      <c r="AF8" s="12">
        <v>304</v>
      </c>
      <c r="AG8" s="1">
        <v>61</v>
      </c>
      <c r="AH8" s="12">
        <v>122</v>
      </c>
      <c r="AI8" s="12">
        <v>183</v>
      </c>
      <c r="AJ8" s="12">
        <v>243</v>
      </c>
      <c r="AK8" s="12">
        <v>304</v>
      </c>
      <c r="AL8" s="12">
        <v>365</v>
      </c>
      <c r="AM8" s="1">
        <v>73</v>
      </c>
      <c r="AN8" s="12">
        <v>146</v>
      </c>
      <c r="AO8" s="12">
        <v>219</v>
      </c>
      <c r="AP8" s="12">
        <v>291</v>
      </c>
      <c r="AQ8" s="12">
        <v>364</v>
      </c>
      <c r="AR8" s="7">
        <v>437</v>
      </c>
      <c r="AS8" s="1">
        <v>18</v>
      </c>
      <c r="AT8" s="12">
        <v>35</v>
      </c>
      <c r="AU8" s="12">
        <v>53</v>
      </c>
      <c r="AV8" s="12">
        <v>70</v>
      </c>
      <c r="AW8" s="12">
        <v>88</v>
      </c>
      <c r="AX8" s="12">
        <v>105</v>
      </c>
      <c r="AY8" s="1">
        <v>21</v>
      </c>
      <c r="AZ8" s="12">
        <v>42</v>
      </c>
      <c r="BA8" s="12">
        <v>63</v>
      </c>
      <c r="BB8" s="12">
        <v>83</v>
      </c>
      <c r="BC8" s="12">
        <v>104</v>
      </c>
      <c r="BD8" s="12">
        <v>125</v>
      </c>
      <c r="BE8" s="1">
        <v>25</v>
      </c>
      <c r="BF8" s="12">
        <v>50</v>
      </c>
      <c r="BG8" s="12">
        <v>75</v>
      </c>
      <c r="BH8" s="12">
        <v>99</v>
      </c>
      <c r="BI8" s="12">
        <v>124</v>
      </c>
      <c r="BJ8" s="12">
        <v>149</v>
      </c>
      <c r="BK8" s="1">
        <v>30</v>
      </c>
      <c r="BL8" s="6">
        <v>60</v>
      </c>
      <c r="BM8" s="6">
        <v>90</v>
      </c>
      <c r="BN8" s="6">
        <v>119</v>
      </c>
      <c r="BO8" s="6">
        <v>149</v>
      </c>
      <c r="BP8" s="6">
        <v>179</v>
      </c>
      <c r="BQ8" s="1">
        <v>36</v>
      </c>
      <c r="BR8" s="12">
        <v>72</v>
      </c>
      <c r="BS8" s="12">
        <v>108</v>
      </c>
      <c r="BT8" s="12">
        <v>144</v>
      </c>
      <c r="BU8" s="12">
        <v>180</v>
      </c>
      <c r="BV8" s="12">
        <v>216</v>
      </c>
      <c r="BW8" s="1">
        <v>43</v>
      </c>
      <c r="BX8" s="12">
        <v>87</v>
      </c>
      <c r="BY8" s="12">
        <v>130</v>
      </c>
      <c r="BZ8" s="12">
        <v>173</v>
      </c>
      <c r="CA8" s="12">
        <v>217</v>
      </c>
      <c r="CB8" s="12">
        <v>260</v>
      </c>
      <c r="CC8" s="1">
        <v>52</v>
      </c>
      <c r="CD8" s="12">
        <v>104</v>
      </c>
      <c r="CE8" s="12">
        <v>156</v>
      </c>
      <c r="CF8" s="12">
        <v>208</v>
      </c>
      <c r="CG8" s="12">
        <v>260</v>
      </c>
      <c r="CH8" s="7">
        <v>312</v>
      </c>
      <c r="CI8" s="1">
        <v>13</v>
      </c>
      <c r="CJ8" s="12">
        <v>26</v>
      </c>
      <c r="CK8" s="12">
        <v>40</v>
      </c>
      <c r="CL8" s="12">
        <v>53</v>
      </c>
      <c r="CM8" s="12">
        <v>66</v>
      </c>
      <c r="CN8" s="12">
        <v>79</v>
      </c>
      <c r="CO8" s="1">
        <v>16</v>
      </c>
      <c r="CP8" s="12">
        <v>31</v>
      </c>
      <c r="CQ8" s="12">
        <v>47</v>
      </c>
      <c r="CR8" s="12">
        <v>63</v>
      </c>
      <c r="CS8" s="12">
        <v>78</v>
      </c>
      <c r="CT8" s="12">
        <v>94</v>
      </c>
      <c r="CU8" s="1">
        <v>19</v>
      </c>
      <c r="CV8" s="12">
        <v>37</v>
      </c>
      <c r="CW8" s="12">
        <v>56</v>
      </c>
      <c r="CX8" s="12">
        <v>75</v>
      </c>
      <c r="CY8" s="12">
        <v>93</v>
      </c>
      <c r="CZ8" s="12">
        <v>112</v>
      </c>
      <c r="DA8" s="1">
        <v>22</v>
      </c>
      <c r="DB8" s="12">
        <v>45</v>
      </c>
      <c r="DC8" s="12">
        <v>67</v>
      </c>
      <c r="DD8" s="12">
        <v>89</v>
      </c>
      <c r="DE8" s="12">
        <v>112</v>
      </c>
      <c r="DF8" s="12">
        <v>134</v>
      </c>
      <c r="DG8" s="1">
        <v>27</v>
      </c>
      <c r="DH8" s="12">
        <v>54</v>
      </c>
      <c r="DI8" s="12">
        <v>81</v>
      </c>
      <c r="DJ8" s="12">
        <v>108</v>
      </c>
      <c r="DK8" s="12">
        <v>135</v>
      </c>
      <c r="DL8" s="12">
        <v>162</v>
      </c>
      <c r="DM8" s="1">
        <v>33</v>
      </c>
      <c r="DN8" s="12">
        <v>65</v>
      </c>
      <c r="DO8" s="12">
        <v>98</v>
      </c>
      <c r="DP8" s="12">
        <v>130</v>
      </c>
      <c r="DQ8" s="12">
        <v>163</v>
      </c>
      <c r="DR8" s="12">
        <v>195</v>
      </c>
      <c r="DS8" s="1">
        <v>39</v>
      </c>
      <c r="DT8" s="12">
        <v>78</v>
      </c>
      <c r="DU8" s="12">
        <v>117</v>
      </c>
      <c r="DV8" s="12">
        <v>156</v>
      </c>
      <c r="DW8" s="12">
        <v>195</v>
      </c>
      <c r="DX8" s="7">
        <v>234</v>
      </c>
      <c r="DY8" s="1">
        <v>9</v>
      </c>
      <c r="DZ8" s="12">
        <v>18</v>
      </c>
      <c r="EA8" s="12">
        <v>27</v>
      </c>
      <c r="EB8" s="12">
        <v>35</v>
      </c>
      <c r="EC8" s="12">
        <v>44</v>
      </c>
      <c r="ED8" s="12">
        <v>53</v>
      </c>
      <c r="EE8" s="1">
        <v>11</v>
      </c>
      <c r="EF8" s="12">
        <v>21</v>
      </c>
      <c r="EG8" s="12">
        <v>32</v>
      </c>
      <c r="EH8" s="12">
        <v>42</v>
      </c>
      <c r="EI8" s="12">
        <v>53</v>
      </c>
      <c r="EJ8" s="12">
        <v>63</v>
      </c>
      <c r="EK8" s="1">
        <v>13</v>
      </c>
      <c r="EL8" s="12">
        <v>25</v>
      </c>
      <c r="EM8" s="12">
        <v>38</v>
      </c>
      <c r="EN8" s="12">
        <v>50</v>
      </c>
      <c r="EO8" s="12">
        <v>63</v>
      </c>
      <c r="EP8" s="12">
        <v>75</v>
      </c>
      <c r="EQ8" s="1">
        <v>15</v>
      </c>
      <c r="ER8" s="12">
        <v>30</v>
      </c>
      <c r="ES8" s="12">
        <v>45</v>
      </c>
      <c r="ET8" s="12">
        <v>60</v>
      </c>
      <c r="EU8" s="12">
        <v>75</v>
      </c>
      <c r="EV8" s="12">
        <v>90</v>
      </c>
      <c r="EW8" s="1">
        <v>18</v>
      </c>
      <c r="EX8" s="12">
        <v>36</v>
      </c>
      <c r="EY8" s="12">
        <v>54</v>
      </c>
      <c r="EZ8" s="12">
        <v>72</v>
      </c>
      <c r="FA8" s="12">
        <v>90</v>
      </c>
      <c r="FB8" s="12">
        <v>108</v>
      </c>
      <c r="FC8" s="1">
        <v>22</v>
      </c>
      <c r="FD8" s="12">
        <v>43</v>
      </c>
      <c r="FE8" s="12">
        <v>65</v>
      </c>
      <c r="FF8" s="12">
        <v>87</v>
      </c>
      <c r="FG8" s="12">
        <v>108</v>
      </c>
      <c r="FH8" s="12">
        <v>130</v>
      </c>
      <c r="FI8" s="1">
        <v>26</v>
      </c>
      <c r="FJ8" s="12">
        <v>52</v>
      </c>
      <c r="FK8" s="12">
        <v>78</v>
      </c>
      <c r="FL8" s="12">
        <v>104</v>
      </c>
      <c r="FM8" s="12">
        <v>130</v>
      </c>
      <c r="FN8" s="7">
        <v>156</v>
      </c>
      <c r="FO8" s="1">
        <v>7</v>
      </c>
      <c r="FP8" s="12">
        <v>13</v>
      </c>
      <c r="FQ8" s="12">
        <v>20</v>
      </c>
      <c r="FR8" s="12">
        <v>26</v>
      </c>
      <c r="FS8" s="12">
        <v>33</v>
      </c>
      <c r="FT8" s="12">
        <v>39</v>
      </c>
      <c r="FU8" s="1">
        <v>8</v>
      </c>
      <c r="FV8" s="12">
        <v>16</v>
      </c>
      <c r="FW8" s="12">
        <v>24</v>
      </c>
      <c r="FX8" s="12">
        <v>31</v>
      </c>
      <c r="FY8" s="12">
        <v>39</v>
      </c>
      <c r="FZ8" s="12">
        <v>47</v>
      </c>
      <c r="GA8" s="1">
        <v>9</v>
      </c>
      <c r="GB8" s="12">
        <v>19</v>
      </c>
      <c r="GC8" s="12">
        <v>28</v>
      </c>
      <c r="GD8" s="12">
        <v>37</v>
      </c>
      <c r="GE8" s="12">
        <v>47</v>
      </c>
      <c r="GF8" s="12">
        <v>56</v>
      </c>
      <c r="GG8" s="1">
        <v>11</v>
      </c>
      <c r="GH8" s="6">
        <v>22</v>
      </c>
      <c r="GI8" s="12">
        <v>34</v>
      </c>
      <c r="GJ8" s="12">
        <v>45</v>
      </c>
      <c r="GK8" s="12">
        <v>56</v>
      </c>
      <c r="GL8" s="12">
        <v>67</v>
      </c>
      <c r="GM8" s="1">
        <v>14</v>
      </c>
      <c r="GN8" s="12">
        <v>27</v>
      </c>
      <c r="GO8" s="12">
        <v>41</v>
      </c>
      <c r="GP8" s="12">
        <v>54</v>
      </c>
      <c r="GQ8" s="12">
        <v>68</v>
      </c>
      <c r="GR8" s="12">
        <v>81</v>
      </c>
      <c r="GS8" s="1">
        <v>16</v>
      </c>
      <c r="GT8" s="12">
        <v>33</v>
      </c>
      <c r="GU8" s="12">
        <v>49</v>
      </c>
      <c r="GV8" s="12">
        <v>65</v>
      </c>
      <c r="GW8" s="12">
        <v>82</v>
      </c>
      <c r="GX8" s="12">
        <v>98</v>
      </c>
      <c r="GY8" s="1">
        <v>20</v>
      </c>
      <c r="GZ8" s="12">
        <v>39</v>
      </c>
      <c r="HA8" s="12">
        <v>59</v>
      </c>
      <c r="HB8" s="12">
        <v>78</v>
      </c>
      <c r="HC8" s="12">
        <v>98</v>
      </c>
      <c r="HD8" s="7">
        <v>117</v>
      </c>
      <c r="HE8" s="28">
        <v>4</v>
      </c>
      <c r="HF8" s="12">
        <v>9</v>
      </c>
      <c r="HG8" s="12">
        <v>13</v>
      </c>
      <c r="HH8" s="12">
        <v>17</v>
      </c>
      <c r="HI8" s="12">
        <v>22</v>
      </c>
      <c r="HJ8" s="12">
        <v>26</v>
      </c>
      <c r="HK8" s="1">
        <v>5</v>
      </c>
      <c r="HL8" s="12">
        <v>10</v>
      </c>
      <c r="HM8" s="12">
        <v>16</v>
      </c>
      <c r="HN8" s="12">
        <v>21</v>
      </c>
      <c r="HO8" s="12">
        <v>26</v>
      </c>
      <c r="HP8" s="12">
        <v>31</v>
      </c>
      <c r="HQ8" s="1">
        <v>6</v>
      </c>
      <c r="HR8" s="12">
        <v>12</v>
      </c>
      <c r="HS8" s="12">
        <v>19</v>
      </c>
      <c r="HT8" s="12">
        <v>25</v>
      </c>
      <c r="HU8" s="12">
        <v>31</v>
      </c>
      <c r="HV8" s="12">
        <v>37</v>
      </c>
      <c r="HW8" s="1">
        <v>8</v>
      </c>
      <c r="HX8" s="12">
        <v>15</v>
      </c>
      <c r="HY8" s="12">
        <v>23</v>
      </c>
      <c r="HZ8" s="12">
        <v>30</v>
      </c>
      <c r="IA8" s="6">
        <v>38</v>
      </c>
      <c r="IB8" s="12">
        <v>45</v>
      </c>
      <c r="IC8" s="1">
        <v>9</v>
      </c>
      <c r="ID8" s="12">
        <v>18</v>
      </c>
      <c r="IE8" s="12">
        <v>27</v>
      </c>
      <c r="IF8" s="12">
        <v>36</v>
      </c>
      <c r="IG8" s="12">
        <v>45</v>
      </c>
      <c r="IH8" s="12">
        <v>54</v>
      </c>
      <c r="II8" s="1">
        <v>11</v>
      </c>
      <c r="IJ8" s="12">
        <v>22</v>
      </c>
      <c r="IK8" s="12">
        <v>33</v>
      </c>
      <c r="IL8" s="12">
        <v>43</v>
      </c>
      <c r="IM8" s="12">
        <v>54</v>
      </c>
      <c r="IN8" s="12">
        <v>65</v>
      </c>
      <c r="IO8" s="1">
        <v>13</v>
      </c>
      <c r="IP8" s="12">
        <v>26</v>
      </c>
      <c r="IQ8" s="12">
        <v>39</v>
      </c>
      <c r="IR8" s="12">
        <v>52</v>
      </c>
      <c r="IS8" s="12">
        <v>65</v>
      </c>
      <c r="IT8" s="7">
        <v>78</v>
      </c>
      <c r="IU8" s="191">
        <v>0</v>
      </c>
    </row>
    <row r="9" spans="1:255" x14ac:dyDescent="0.2">
      <c r="A9">
        <v>5</v>
      </c>
      <c r="B9" s="18">
        <v>1.2</v>
      </c>
      <c r="C9" s="28">
        <v>25</v>
      </c>
      <c r="D9" s="12">
        <v>51</v>
      </c>
      <c r="E9" s="12">
        <v>76</v>
      </c>
      <c r="F9" s="12">
        <v>101</v>
      </c>
      <c r="G9" s="6">
        <v>127</v>
      </c>
      <c r="H9" s="12">
        <v>152</v>
      </c>
      <c r="I9" s="1">
        <v>30</v>
      </c>
      <c r="J9" s="12">
        <v>60</v>
      </c>
      <c r="K9" s="12">
        <v>90</v>
      </c>
      <c r="L9" s="12">
        <v>120</v>
      </c>
      <c r="M9" s="12">
        <v>150</v>
      </c>
      <c r="N9" s="12">
        <v>180</v>
      </c>
      <c r="O9" s="1">
        <v>36</v>
      </c>
      <c r="P9" s="12">
        <v>72</v>
      </c>
      <c r="Q9" s="12">
        <v>108</v>
      </c>
      <c r="R9" s="12">
        <v>143</v>
      </c>
      <c r="S9" s="12">
        <v>179</v>
      </c>
      <c r="T9" s="12">
        <v>215</v>
      </c>
      <c r="U9" s="1">
        <v>43</v>
      </c>
      <c r="V9" s="12">
        <v>86</v>
      </c>
      <c r="W9" s="12">
        <v>130</v>
      </c>
      <c r="X9" s="12">
        <v>173</v>
      </c>
      <c r="Y9" s="12">
        <v>216</v>
      </c>
      <c r="Z9" s="12">
        <v>259</v>
      </c>
      <c r="AA9" s="1">
        <v>52</v>
      </c>
      <c r="AB9" s="12">
        <v>104</v>
      </c>
      <c r="AC9" s="12">
        <v>157</v>
      </c>
      <c r="AD9" s="12">
        <v>209</v>
      </c>
      <c r="AE9" s="12">
        <v>261</v>
      </c>
      <c r="AF9" s="12">
        <v>313</v>
      </c>
      <c r="AG9" s="1">
        <v>63</v>
      </c>
      <c r="AH9" s="12">
        <v>125</v>
      </c>
      <c r="AI9" s="12">
        <v>188</v>
      </c>
      <c r="AJ9" s="12">
        <v>251</v>
      </c>
      <c r="AK9" s="12">
        <v>313</v>
      </c>
      <c r="AL9" s="12">
        <v>376</v>
      </c>
      <c r="AM9" s="1">
        <v>75</v>
      </c>
      <c r="AN9" s="12">
        <v>150</v>
      </c>
      <c r="AO9" s="12">
        <v>226</v>
      </c>
      <c r="AP9" s="12">
        <v>301</v>
      </c>
      <c r="AQ9" s="12">
        <v>376</v>
      </c>
      <c r="AR9" s="7">
        <v>451</v>
      </c>
      <c r="AS9" s="1">
        <v>18</v>
      </c>
      <c r="AT9" s="12">
        <v>36</v>
      </c>
      <c r="AU9" s="12">
        <v>54</v>
      </c>
      <c r="AV9" s="12">
        <v>71</v>
      </c>
      <c r="AW9" s="12">
        <v>89</v>
      </c>
      <c r="AX9" s="12">
        <v>107</v>
      </c>
      <c r="AY9" s="1">
        <v>21</v>
      </c>
      <c r="AZ9" s="12">
        <v>42</v>
      </c>
      <c r="BA9" s="12">
        <v>64</v>
      </c>
      <c r="BB9" s="12">
        <v>85</v>
      </c>
      <c r="BC9" s="12">
        <v>106</v>
      </c>
      <c r="BD9" s="12">
        <v>127</v>
      </c>
      <c r="BE9" s="1">
        <v>25</v>
      </c>
      <c r="BF9" s="12">
        <v>51</v>
      </c>
      <c r="BG9" s="12">
        <v>76</v>
      </c>
      <c r="BH9" s="12">
        <v>101</v>
      </c>
      <c r="BI9" s="12">
        <v>127</v>
      </c>
      <c r="BJ9" s="12">
        <v>152</v>
      </c>
      <c r="BK9" s="1">
        <v>31</v>
      </c>
      <c r="BL9" s="6">
        <v>61</v>
      </c>
      <c r="BM9" s="6">
        <v>92</v>
      </c>
      <c r="BN9" s="6">
        <v>122</v>
      </c>
      <c r="BO9" s="6">
        <v>153</v>
      </c>
      <c r="BP9" s="6">
        <v>183</v>
      </c>
      <c r="BQ9" s="1">
        <v>37</v>
      </c>
      <c r="BR9" s="12">
        <v>74</v>
      </c>
      <c r="BS9" s="12">
        <v>111</v>
      </c>
      <c r="BT9" s="12">
        <v>147</v>
      </c>
      <c r="BU9" s="12">
        <v>184</v>
      </c>
      <c r="BV9" s="12">
        <v>221</v>
      </c>
      <c r="BW9" s="1">
        <v>45</v>
      </c>
      <c r="BX9" s="12">
        <v>89</v>
      </c>
      <c r="BY9" s="12">
        <v>134</v>
      </c>
      <c r="BZ9" s="12">
        <v>178</v>
      </c>
      <c r="CA9" s="12">
        <v>223</v>
      </c>
      <c r="CB9" s="12">
        <v>267</v>
      </c>
      <c r="CC9" s="1">
        <v>53</v>
      </c>
      <c r="CD9" s="12">
        <v>107</v>
      </c>
      <c r="CE9" s="12">
        <v>160</v>
      </c>
      <c r="CF9" s="12">
        <v>213</v>
      </c>
      <c r="CG9" s="12">
        <v>267</v>
      </c>
      <c r="CH9" s="7">
        <v>320</v>
      </c>
      <c r="CI9" s="1">
        <v>13</v>
      </c>
      <c r="CJ9" s="12">
        <v>27</v>
      </c>
      <c r="CK9" s="12">
        <v>40</v>
      </c>
      <c r="CL9" s="12">
        <v>53</v>
      </c>
      <c r="CM9" s="12">
        <v>67</v>
      </c>
      <c r="CN9" s="12">
        <v>80</v>
      </c>
      <c r="CO9" s="1">
        <v>16</v>
      </c>
      <c r="CP9" s="12">
        <v>32</v>
      </c>
      <c r="CQ9" s="12">
        <v>48</v>
      </c>
      <c r="CR9" s="12">
        <v>63</v>
      </c>
      <c r="CS9" s="12">
        <v>79</v>
      </c>
      <c r="CT9" s="143">
        <v>95</v>
      </c>
      <c r="CU9" s="1">
        <v>19</v>
      </c>
      <c r="CV9" s="12">
        <v>38</v>
      </c>
      <c r="CW9" s="12">
        <v>57</v>
      </c>
      <c r="CX9" s="12">
        <v>76</v>
      </c>
      <c r="CY9" s="12">
        <v>95</v>
      </c>
      <c r="CZ9" s="12">
        <v>114</v>
      </c>
      <c r="DA9" s="1">
        <v>23</v>
      </c>
      <c r="DB9" s="12">
        <v>46</v>
      </c>
      <c r="DC9" s="12">
        <v>69</v>
      </c>
      <c r="DD9" s="12">
        <v>91</v>
      </c>
      <c r="DE9" s="12">
        <v>114</v>
      </c>
      <c r="DF9" s="12">
        <v>137</v>
      </c>
      <c r="DG9" s="1">
        <v>28</v>
      </c>
      <c r="DH9" s="12">
        <v>55</v>
      </c>
      <c r="DI9" s="12">
        <v>83</v>
      </c>
      <c r="DJ9" s="12">
        <v>111</v>
      </c>
      <c r="DK9" s="12">
        <v>138</v>
      </c>
      <c r="DL9" s="12">
        <v>166</v>
      </c>
      <c r="DM9" s="1">
        <v>33</v>
      </c>
      <c r="DN9" s="12">
        <v>67</v>
      </c>
      <c r="DO9" s="12">
        <v>100</v>
      </c>
      <c r="DP9" s="12">
        <v>133</v>
      </c>
      <c r="DQ9" s="12">
        <v>167</v>
      </c>
      <c r="DR9" s="12">
        <v>200</v>
      </c>
      <c r="DS9" s="1">
        <v>40</v>
      </c>
      <c r="DT9" s="12">
        <v>80</v>
      </c>
      <c r="DU9" s="12">
        <v>120</v>
      </c>
      <c r="DV9" s="12">
        <v>160</v>
      </c>
      <c r="DW9" s="12">
        <v>200</v>
      </c>
      <c r="DX9" s="7">
        <v>240</v>
      </c>
      <c r="DY9" s="1">
        <v>9</v>
      </c>
      <c r="DZ9" s="12">
        <v>18</v>
      </c>
      <c r="EA9" s="12">
        <v>27</v>
      </c>
      <c r="EB9" s="12">
        <v>36</v>
      </c>
      <c r="EC9" s="12">
        <v>45</v>
      </c>
      <c r="ED9" s="12">
        <v>54</v>
      </c>
      <c r="EE9" s="1">
        <v>11</v>
      </c>
      <c r="EF9" s="12">
        <v>21</v>
      </c>
      <c r="EG9" s="12">
        <v>32</v>
      </c>
      <c r="EH9" s="12">
        <v>43</v>
      </c>
      <c r="EI9" s="12">
        <v>53</v>
      </c>
      <c r="EJ9" s="12">
        <v>64</v>
      </c>
      <c r="EK9" s="1">
        <v>13</v>
      </c>
      <c r="EL9" s="12">
        <v>25</v>
      </c>
      <c r="EM9" s="12">
        <v>38</v>
      </c>
      <c r="EN9" s="12">
        <v>51</v>
      </c>
      <c r="EO9" s="36">
        <v>63</v>
      </c>
      <c r="EP9" s="12">
        <v>76</v>
      </c>
      <c r="EQ9" s="1">
        <v>15</v>
      </c>
      <c r="ER9" s="12">
        <v>31</v>
      </c>
      <c r="ES9" s="12">
        <v>46</v>
      </c>
      <c r="ET9" s="12">
        <v>61</v>
      </c>
      <c r="EU9" s="12">
        <v>77</v>
      </c>
      <c r="EV9" s="12">
        <v>92</v>
      </c>
      <c r="EW9" s="1">
        <v>19</v>
      </c>
      <c r="EX9" s="12">
        <v>37</v>
      </c>
      <c r="EY9" s="12">
        <v>56</v>
      </c>
      <c r="EZ9" s="12">
        <v>74</v>
      </c>
      <c r="FA9" s="12">
        <v>93</v>
      </c>
      <c r="FB9" s="12">
        <v>111</v>
      </c>
      <c r="FC9" s="1">
        <v>22</v>
      </c>
      <c r="FD9" s="12">
        <v>45</v>
      </c>
      <c r="FE9" s="12">
        <v>67</v>
      </c>
      <c r="FF9" s="12">
        <v>89</v>
      </c>
      <c r="FG9" s="12">
        <v>112</v>
      </c>
      <c r="FH9" s="12">
        <v>134</v>
      </c>
      <c r="FI9" s="1">
        <v>27</v>
      </c>
      <c r="FJ9" s="12">
        <v>53</v>
      </c>
      <c r="FK9" s="12">
        <v>80</v>
      </c>
      <c r="FL9" s="12">
        <v>107</v>
      </c>
      <c r="FM9" s="12">
        <v>133</v>
      </c>
      <c r="FN9" s="7">
        <v>160</v>
      </c>
      <c r="FO9" s="1">
        <v>7</v>
      </c>
      <c r="FP9" s="12">
        <v>13</v>
      </c>
      <c r="FQ9" s="12">
        <v>20</v>
      </c>
      <c r="FR9" s="12">
        <v>27</v>
      </c>
      <c r="FS9" s="12">
        <v>33</v>
      </c>
      <c r="FT9" s="12">
        <v>40</v>
      </c>
      <c r="FU9" s="1">
        <v>8</v>
      </c>
      <c r="FV9" s="12">
        <v>16</v>
      </c>
      <c r="FW9" s="12">
        <v>24</v>
      </c>
      <c r="FX9" s="12">
        <v>32</v>
      </c>
      <c r="FY9" s="12">
        <v>40</v>
      </c>
      <c r="FZ9" s="12">
        <v>48</v>
      </c>
      <c r="GA9" s="1">
        <v>10</v>
      </c>
      <c r="GB9" s="12">
        <v>19</v>
      </c>
      <c r="GC9" s="12">
        <v>29</v>
      </c>
      <c r="GD9" s="12">
        <v>38</v>
      </c>
      <c r="GE9" s="12">
        <v>48</v>
      </c>
      <c r="GF9" s="12">
        <v>57</v>
      </c>
      <c r="GG9" s="1">
        <v>12</v>
      </c>
      <c r="GH9" s="6">
        <v>23</v>
      </c>
      <c r="GI9" s="12">
        <v>35</v>
      </c>
      <c r="GJ9" s="12">
        <v>46</v>
      </c>
      <c r="GK9" s="188">
        <v>58</v>
      </c>
      <c r="GL9" s="12">
        <v>69</v>
      </c>
      <c r="GM9" s="1">
        <v>14</v>
      </c>
      <c r="GN9" s="12">
        <v>28</v>
      </c>
      <c r="GO9" s="12">
        <v>42</v>
      </c>
      <c r="GP9" s="12">
        <v>55</v>
      </c>
      <c r="GQ9" s="12">
        <v>69</v>
      </c>
      <c r="GR9" s="12">
        <v>83</v>
      </c>
      <c r="GS9" s="1">
        <v>17</v>
      </c>
      <c r="GT9" s="12">
        <v>33</v>
      </c>
      <c r="GU9" s="12">
        <v>50</v>
      </c>
      <c r="GV9" s="12">
        <v>67</v>
      </c>
      <c r="GW9" s="12">
        <v>83</v>
      </c>
      <c r="GX9" s="12">
        <v>100</v>
      </c>
      <c r="GY9" s="1">
        <v>20</v>
      </c>
      <c r="GZ9" s="12">
        <v>40</v>
      </c>
      <c r="HA9" s="12">
        <v>60</v>
      </c>
      <c r="HB9" s="12">
        <v>80</v>
      </c>
      <c r="HC9" s="12">
        <v>100</v>
      </c>
      <c r="HD9" s="7">
        <v>120</v>
      </c>
      <c r="HE9" s="28">
        <v>5</v>
      </c>
      <c r="HF9" s="12">
        <v>9</v>
      </c>
      <c r="HG9" s="12">
        <v>14</v>
      </c>
      <c r="HH9" s="12">
        <v>18</v>
      </c>
      <c r="HI9" s="12">
        <v>23</v>
      </c>
      <c r="HJ9" s="12">
        <v>27</v>
      </c>
      <c r="HK9" s="1">
        <v>5</v>
      </c>
      <c r="HL9" s="12">
        <v>11</v>
      </c>
      <c r="HM9" s="12">
        <v>16</v>
      </c>
      <c r="HN9" s="12">
        <v>21</v>
      </c>
      <c r="HO9" s="12">
        <v>27</v>
      </c>
      <c r="HP9" s="12">
        <v>32</v>
      </c>
      <c r="HQ9" s="1">
        <v>6</v>
      </c>
      <c r="HR9" s="12">
        <v>13</v>
      </c>
      <c r="HS9" s="12">
        <v>19</v>
      </c>
      <c r="HT9" s="12">
        <v>25</v>
      </c>
      <c r="HU9" s="12">
        <v>32</v>
      </c>
      <c r="HV9" s="12">
        <v>38</v>
      </c>
      <c r="HW9" s="1">
        <v>8</v>
      </c>
      <c r="HX9" s="12">
        <v>15</v>
      </c>
      <c r="HY9" s="12">
        <v>23</v>
      </c>
      <c r="HZ9" s="12">
        <v>31</v>
      </c>
      <c r="IA9" s="6">
        <v>38</v>
      </c>
      <c r="IB9" s="12">
        <v>46</v>
      </c>
      <c r="IC9" s="1">
        <v>9</v>
      </c>
      <c r="ID9" s="12">
        <v>18</v>
      </c>
      <c r="IE9" s="12">
        <v>28</v>
      </c>
      <c r="IF9" s="12">
        <v>37</v>
      </c>
      <c r="IG9" s="12">
        <v>46</v>
      </c>
      <c r="IH9" s="12">
        <v>55</v>
      </c>
      <c r="II9" s="1">
        <v>11</v>
      </c>
      <c r="IJ9" s="12">
        <v>22</v>
      </c>
      <c r="IK9" s="12">
        <v>34</v>
      </c>
      <c r="IL9" s="12">
        <v>45</v>
      </c>
      <c r="IM9" s="12">
        <v>56</v>
      </c>
      <c r="IN9" s="12">
        <v>67</v>
      </c>
      <c r="IO9" s="1">
        <v>13</v>
      </c>
      <c r="IP9" s="12">
        <v>27</v>
      </c>
      <c r="IQ9" s="12">
        <v>40</v>
      </c>
      <c r="IR9" s="12">
        <v>53</v>
      </c>
      <c r="IS9" s="12">
        <v>67</v>
      </c>
      <c r="IT9" s="7">
        <v>80</v>
      </c>
      <c r="IU9" s="191">
        <v>0</v>
      </c>
    </row>
    <row r="10" spans="1:255" x14ac:dyDescent="0.2">
      <c r="A10">
        <v>6</v>
      </c>
      <c r="B10" s="18">
        <v>1.4</v>
      </c>
      <c r="C10" s="28">
        <v>26</v>
      </c>
      <c r="D10" s="12">
        <v>52</v>
      </c>
      <c r="E10" s="12">
        <v>78</v>
      </c>
      <c r="F10" s="12">
        <v>103</v>
      </c>
      <c r="G10" s="6">
        <v>129</v>
      </c>
      <c r="H10" s="12">
        <v>155</v>
      </c>
      <c r="I10" s="1">
        <v>31</v>
      </c>
      <c r="J10" s="12">
        <v>61</v>
      </c>
      <c r="K10" s="12">
        <v>92</v>
      </c>
      <c r="L10" s="12">
        <v>123</v>
      </c>
      <c r="M10" s="12">
        <v>153</v>
      </c>
      <c r="N10" s="12">
        <v>184</v>
      </c>
      <c r="O10" s="1">
        <v>37</v>
      </c>
      <c r="P10" s="12">
        <v>74</v>
      </c>
      <c r="Q10" s="12">
        <v>111</v>
      </c>
      <c r="R10" s="12">
        <v>147</v>
      </c>
      <c r="S10" s="12">
        <v>184</v>
      </c>
      <c r="T10" s="12">
        <v>221</v>
      </c>
      <c r="U10" s="1">
        <v>44</v>
      </c>
      <c r="V10" s="12">
        <v>89</v>
      </c>
      <c r="W10" s="12">
        <v>133</v>
      </c>
      <c r="X10" s="12">
        <v>177</v>
      </c>
      <c r="Y10" s="12">
        <v>222</v>
      </c>
      <c r="Z10" s="12">
        <v>266</v>
      </c>
      <c r="AA10" s="1">
        <v>54</v>
      </c>
      <c r="AB10" s="12">
        <v>107</v>
      </c>
      <c r="AC10" s="12">
        <v>161</v>
      </c>
      <c r="AD10" s="12">
        <v>214</v>
      </c>
      <c r="AE10" s="12">
        <v>268</v>
      </c>
      <c r="AF10" s="12">
        <v>321</v>
      </c>
      <c r="AG10" s="1">
        <v>65</v>
      </c>
      <c r="AH10" s="12">
        <v>129</v>
      </c>
      <c r="AI10" s="12">
        <v>194</v>
      </c>
      <c r="AJ10" s="12">
        <v>258</v>
      </c>
      <c r="AK10" s="12">
        <v>323</v>
      </c>
      <c r="AL10" s="12">
        <v>387</v>
      </c>
      <c r="AM10" s="1">
        <v>77</v>
      </c>
      <c r="AN10" s="12">
        <v>155</v>
      </c>
      <c r="AO10" s="12">
        <v>232</v>
      </c>
      <c r="AP10" s="12">
        <v>309</v>
      </c>
      <c r="AQ10" s="12">
        <v>387</v>
      </c>
      <c r="AR10" s="7">
        <v>464</v>
      </c>
      <c r="AS10" s="1">
        <v>18</v>
      </c>
      <c r="AT10" s="12">
        <v>36</v>
      </c>
      <c r="AU10" s="12">
        <v>55</v>
      </c>
      <c r="AV10" s="12">
        <v>73</v>
      </c>
      <c r="AW10" s="12">
        <v>91</v>
      </c>
      <c r="AX10" s="12">
        <v>109</v>
      </c>
      <c r="AY10" s="1">
        <v>22</v>
      </c>
      <c r="AZ10" s="12">
        <v>43</v>
      </c>
      <c r="BA10" s="12">
        <v>65</v>
      </c>
      <c r="BB10" s="12">
        <v>87</v>
      </c>
      <c r="BC10" s="12">
        <v>108</v>
      </c>
      <c r="BD10" s="12">
        <v>130</v>
      </c>
      <c r="BE10" s="1">
        <v>26</v>
      </c>
      <c r="BF10" s="12">
        <v>52</v>
      </c>
      <c r="BG10" s="12">
        <v>78</v>
      </c>
      <c r="BH10" s="12">
        <v>103</v>
      </c>
      <c r="BI10" s="12">
        <v>129</v>
      </c>
      <c r="BJ10" s="12">
        <v>155</v>
      </c>
      <c r="BK10" s="1">
        <v>31</v>
      </c>
      <c r="BL10" s="6">
        <v>62</v>
      </c>
      <c r="BM10" s="6">
        <v>94</v>
      </c>
      <c r="BN10" s="6">
        <v>125</v>
      </c>
      <c r="BO10" s="6">
        <v>156</v>
      </c>
      <c r="BP10" s="6">
        <v>187</v>
      </c>
      <c r="BQ10" s="1">
        <v>38</v>
      </c>
      <c r="BR10" s="12">
        <v>76</v>
      </c>
      <c r="BS10" s="12">
        <v>114</v>
      </c>
      <c r="BT10" s="12">
        <v>151</v>
      </c>
      <c r="BU10" s="12">
        <v>489</v>
      </c>
      <c r="BV10" s="12">
        <v>227</v>
      </c>
      <c r="BW10" s="1">
        <v>46</v>
      </c>
      <c r="BX10" s="12">
        <v>91</v>
      </c>
      <c r="BY10" s="12">
        <v>137</v>
      </c>
      <c r="BZ10" s="12">
        <v>183</v>
      </c>
      <c r="CA10" s="12">
        <v>228</v>
      </c>
      <c r="CB10" s="12">
        <v>274</v>
      </c>
      <c r="CC10" s="1">
        <v>55</v>
      </c>
      <c r="CD10" s="12">
        <v>110</v>
      </c>
      <c r="CE10" s="12">
        <v>165</v>
      </c>
      <c r="CF10" s="12">
        <v>219</v>
      </c>
      <c r="CG10" s="12">
        <v>274</v>
      </c>
      <c r="CH10" s="7">
        <v>329</v>
      </c>
      <c r="CI10" s="1">
        <v>14</v>
      </c>
      <c r="CJ10" s="12">
        <v>27</v>
      </c>
      <c r="CK10" s="12">
        <v>41</v>
      </c>
      <c r="CL10" s="12">
        <v>55</v>
      </c>
      <c r="CM10" s="12">
        <v>68</v>
      </c>
      <c r="CN10" s="12">
        <v>82</v>
      </c>
      <c r="CO10" s="1">
        <v>16</v>
      </c>
      <c r="CP10" s="12">
        <v>33</v>
      </c>
      <c r="CQ10" s="12">
        <v>49</v>
      </c>
      <c r="CR10" s="12">
        <v>65</v>
      </c>
      <c r="CS10" s="12">
        <v>82</v>
      </c>
      <c r="CT10" s="12">
        <v>98</v>
      </c>
      <c r="CU10" s="1">
        <v>19</v>
      </c>
      <c r="CV10" s="12">
        <v>39</v>
      </c>
      <c r="CW10" s="12">
        <v>58</v>
      </c>
      <c r="CX10" s="12">
        <v>77</v>
      </c>
      <c r="CY10" s="12">
        <v>97</v>
      </c>
      <c r="CZ10" s="12">
        <v>116</v>
      </c>
      <c r="DA10" s="1">
        <v>23</v>
      </c>
      <c r="DB10" s="12">
        <v>47</v>
      </c>
      <c r="DC10" s="12">
        <v>70</v>
      </c>
      <c r="DD10" s="12">
        <v>93</v>
      </c>
      <c r="DE10" s="12">
        <v>117</v>
      </c>
      <c r="DF10" s="12">
        <v>140</v>
      </c>
      <c r="DG10" s="1">
        <v>28</v>
      </c>
      <c r="DH10" s="12">
        <v>57</v>
      </c>
      <c r="DI10" s="12">
        <v>85</v>
      </c>
      <c r="DJ10" s="12">
        <v>113</v>
      </c>
      <c r="DK10" s="12">
        <v>142</v>
      </c>
      <c r="DL10" s="12">
        <v>170</v>
      </c>
      <c r="DM10" s="1">
        <v>34</v>
      </c>
      <c r="DN10" s="12">
        <v>69</v>
      </c>
      <c r="DO10" s="12">
        <v>103</v>
      </c>
      <c r="DP10" s="12">
        <v>137</v>
      </c>
      <c r="DQ10" s="12">
        <v>172</v>
      </c>
      <c r="DR10" s="12">
        <v>206</v>
      </c>
      <c r="DS10" s="1">
        <v>41</v>
      </c>
      <c r="DT10" s="12">
        <v>82</v>
      </c>
      <c r="DU10" s="12">
        <v>124</v>
      </c>
      <c r="DV10" s="12">
        <v>165</v>
      </c>
      <c r="DW10" s="12">
        <v>206</v>
      </c>
      <c r="DX10" s="7">
        <v>247</v>
      </c>
      <c r="DY10" s="1">
        <v>9</v>
      </c>
      <c r="DZ10" s="12">
        <v>18</v>
      </c>
      <c r="EA10" s="12">
        <v>28</v>
      </c>
      <c r="EB10" s="12">
        <v>37</v>
      </c>
      <c r="EC10" s="12">
        <v>46</v>
      </c>
      <c r="ED10" s="12">
        <v>55</v>
      </c>
      <c r="EE10" s="1">
        <v>11</v>
      </c>
      <c r="EF10" s="12">
        <v>22</v>
      </c>
      <c r="EG10" s="12">
        <v>33</v>
      </c>
      <c r="EH10" s="12">
        <v>43</v>
      </c>
      <c r="EI10" s="12">
        <v>54</v>
      </c>
      <c r="EJ10" s="12">
        <v>65</v>
      </c>
      <c r="EK10" s="1">
        <v>13</v>
      </c>
      <c r="EL10" s="12">
        <v>26</v>
      </c>
      <c r="EM10" s="12">
        <v>39</v>
      </c>
      <c r="EN10" s="12">
        <v>52</v>
      </c>
      <c r="EO10" s="12">
        <v>65</v>
      </c>
      <c r="EP10" s="12">
        <v>78</v>
      </c>
      <c r="EQ10" s="1">
        <v>16</v>
      </c>
      <c r="ER10" s="12">
        <v>31</v>
      </c>
      <c r="ES10" s="12">
        <v>47</v>
      </c>
      <c r="ET10" s="12">
        <v>63</v>
      </c>
      <c r="EU10" s="12">
        <v>78</v>
      </c>
      <c r="EV10" s="12">
        <v>94</v>
      </c>
      <c r="EW10" s="1">
        <v>19</v>
      </c>
      <c r="EX10" s="12">
        <v>38</v>
      </c>
      <c r="EY10" s="12">
        <v>57</v>
      </c>
      <c r="EZ10" s="12">
        <v>76</v>
      </c>
      <c r="FA10" s="12">
        <v>95</v>
      </c>
      <c r="FB10" s="12">
        <v>114</v>
      </c>
      <c r="FC10" s="1">
        <v>23</v>
      </c>
      <c r="FD10" s="12">
        <v>46</v>
      </c>
      <c r="FE10" s="12">
        <v>69</v>
      </c>
      <c r="FF10" s="12">
        <v>91</v>
      </c>
      <c r="FG10" s="12">
        <v>114</v>
      </c>
      <c r="FH10" s="12">
        <v>137</v>
      </c>
      <c r="FI10" s="1">
        <v>28</v>
      </c>
      <c r="FJ10" s="12">
        <v>55</v>
      </c>
      <c r="FK10" s="12">
        <v>83</v>
      </c>
      <c r="FL10" s="12">
        <v>110</v>
      </c>
      <c r="FM10" s="12">
        <v>138</v>
      </c>
      <c r="FN10" s="7">
        <v>165</v>
      </c>
      <c r="FO10" s="1">
        <v>7</v>
      </c>
      <c r="FP10" s="12">
        <v>14</v>
      </c>
      <c r="FQ10" s="12">
        <v>21</v>
      </c>
      <c r="FR10" s="12">
        <v>27</v>
      </c>
      <c r="FS10" s="12">
        <v>34</v>
      </c>
      <c r="FT10" s="12">
        <v>41</v>
      </c>
      <c r="FU10" s="1">
        <v>8</v>
      </c>
      <c r="FV10" s="12">
        <v>16</v>
      </c>
      <c r="FW10" s="12">
        <v>25</v>
      </c>
      <c r="FX10" s="12">
        <v>33</v>
      </c>
      <c r="FY10" s="12">
        <v>41</v>
      </c>
      <c r="FZ10" s="12">
        <v>49</v>
      </c>
      <c r="GA10" s="1">
        <v>10</v>
      </c>
      <c r="GB10" s="12">
        <v>19</v>
      </c>
      <c r="GC10" s="12">
        <v>29</v>
      </c>
      <c r="GD10" s="12">
        <v>39</v>
      </c>
      <c r="GE10" s="12">
        <v>48</v>
      </c>
      <c r="GF10" s="12">
        <v>58</v>
      </c>
      <c r="GG10" s="1">
        <v>12</v>
      </c>
      <c r="GH10" s="6">
        <v>23</v>
      </c>
      <c r="GI10" s="12">
        <v>35</v>
      </c>
      <c r="GJ10" s="12">
        <v>47</v>
      </c>
      <c r="GK10" s="36">
        <v>58</v>
      </c>
      <c r="GL10" s="12">
        <v>70</v>
      </c>
      <c r="GM10" s="1">
        <v>14</v>
      </c>
      <c r="GN10" s="12">
        <v>28</v>
      </c>
      <c r="GO10" s="12">
        <v>43</v>
      </c>
      <c r="GP10" s="12">
        <v>57</v>
      </c>
      <c r="GQ10" s="12">
        <v>71</v>
      </c>
      <c r="GR10" s="12">
        <v>85</v>
      </c>
      <c r="GS10" s="1">
        <v>17</v>
      </c>
      <c r="GT10" s="12">
        <v>34</v>
      </c>
      <c r="GU10" s="12">
        <v>52</v>
      </c>
      <c r="GV10" s="12">
        <v>69</v>
      </c>
      <c r="GW10" s="12">
        <v>86</v>
      </c>
      <c r="GX10" s="12">
        <v>103</v>
      </c>
      <c r="GY10" s="1">
        <v>21</v>
      </c>
      <c r="GZ10" s="12">
        <v>41</v>
      </c>
      <c r="HA10" s="12">
        <v>62</v>
      </c>
      <c r="HB10" s="12">
        <v>82</v>
      </c>
      <c r="HC10" s="12">
        <v>103</v>
      </c>
      <c r="HD10" s="7">
        <v>123</v>
      </c>
      <c r="HE10" s="28">
        <v>5</v>
      </c>
      <c r="HF10" s="12">
        <v>9</v>
      </c>
      <c r="HG10" s="12">
        <v>14</v>
      </c>
      <c r="HH10" s="12">
        <v>18</v>
      </c>
      <c r="HI10" s="12">
        <v>23</v>
      </c>
      <c r="HJ10" s="12">
        <v>27</v>
      </c>
      <c r="HK10" s="1">
        <v>6</v>
      </c>
      <c r="HL10" s="12">
        <v>11</v>
      </c>
      <c r="HM10" s="12">
        <v>17</v>
      </c>
      <c r="HN10" s="12">
        <v>22</v>
      </c>
      <c r="HO10" s="12">
        <v>28</v>
      </c>
      <c r="HP10" s="12">
        <v>33</v>
      </c>
      <c r="HQ10" s="1">
        <v>7</v>
      </c>
      <c r="HR10" s="12">
        <v>13</v>
      </c>
      <c r="HS10" s="12">
        <v>20</v>
      </c>
      <c r="HT10" s="12">
        <v>26</v>
      </c>
      <c r="HU10" s="12">
        <v>33</v>
      </c>
      <c r="HV10" s="12">
        <v>39</v>
      </c>
      <c r="HW10" s="1">
        <v>8</v>
      </c>
      <c r="HX10" s="12">
        <v>16</v>
      </c>
      <c r="HY10" s="12">
        <v>24</v>
      </c>
      <c r="HZ10" s="12">
        <v>31</v>
      </c>
      <c r="IA10" s="6">
        <v>39</v>
      </c>
      <c r="IB10" s="12">
        <v>47</v>
      </c>
      <c r="IC10" s="1">
        <v>10</v>
      </c>
      <c r="ID10" s="12">
        <v>19</v>
      </c>
      <c r="IE10" s="12">
        <v>29</v>
      </c>
      <c r="IF10" s="12">
        <v>38</v>
      </c>
      <c r="IG10" s="36">
        <v>48</v>
      </c>
      <c r="IH10" s="12">
        <v>57</v>
      </c>
      <c r="II10" s="1">
        <v>12</v>
      </c>
      <c r="IJ10" s="12">
        <v>23</v>
      </c>
      <c r="IK10" s="12">
        <v>35</v>
      </c>
      <c r="IL10" s="12">
        <v>46</v>
      </c>
      <c r="IM10" s="12">
        <v>58</v>
      </c>
      <c r="IN10" s="12">
        <v>69</v>
      </c>
      <c r="IO10" s="1">
        <v>14</v>
      </c>
      <c r="IP10" s="12">
        <v>27</v>
      </c>
      <c r="IQ10" s="12">
        <v>41</v>
      </c>
      <c r="IR10" s="12">
        <v>55</v>
      </c>
      <c r="IS10" s="12">
        <v>68</v>
      </c>
      <c r="IT10" s="7">
        <v>82</v>
      </c>
      <c r="IU10" s="191">
        <v>0</v>
      </c>
    </row>
    <row r="11" spans="1:255" x14ac:dyDescent="0.2">
      <c r="A11">
        <v>7</v>
      </c>
      <c r="B11" s="18">
        <v>1.6</v>
      </c>
      <c r="C11" s="28">
        <v>26</v>
      </c>
      <c r="D11" s="12">
        <v>52</v>
      </c>
      <c r="E11" s="12">
        <v>79</v>
      </c>
      <c r="F11" s="12">
        <v>105</v>
      </c>
      <c r="G11" s="6">
        <v>131</v>
      </c>
      <c r="H11" s="12">
        <v>157</v>
      </c>
      <c r="I11" s="1">
        <v>32</v>
      </c>
      <c r="J11" s="12">
        <v>63</v>
      </c>
      <c r="K11" s="12">
        <v>95</v>
      </c>
      <c r="L11" s="12">
        <v>126</v>
      </c>
      <c r="M11" s="12">
        <v>158</v>
      </c>
      <c r="N11" s="12">
        <v>189</v>
      </c>
      <c r="O11" s="1">
        <v>38</v>
      </c>
      <c r="P11" s="12">
        <v>75</v>
      </c>
      <c r="Q11" s="12">
        <v>113</v>
      </c>
      <c r="R11" s="12">
        <v>151</v>
      </c>
      <c r="S11" s="12">
        <v>188</v>
      </c>
      <c r="T11" s="12">
        <v>226</v>
      </c>
      <c r="U11" s="1">
        <v>46</v>
      </c>
      <c r="V11" s="12">
        <v>91</v>
      </c>
      <c r="W11" s="12">
        <v>137</v>
      </c>
      <c r="X11" s="12">
        <v>182</v>
      </c>
      <c r="Y11" s="12">
        <v>228</v>
      </c>
      <c r="Z11" s="12">
        <v>273</v>
      </c>
      <c r="AA11" s="1">
        <v>55</v>
      </c>
      <c r="AB11" s="12">
        <v>110</v>
      </c>
      <c r="AC11" s="12">
        <v>165</v>
      </c>
      <c r="AD11" s="12">
        <v>219</v>
      </c>
      <c r="AE11" s="12">
        <v>274</v>
      </c>
      <c r="AF11" s="12">
        <v>329</v>
      </c>
      <c r="AG11" s="1">
        <v>66</v>
      </c>
      <c r="AH11" s="12">
        <v>132</v>
      </c>
      <c r="AI11" s="12">
        <v>199</v>
      </c>
      <c r="AJ11" s="12">
        <v>265</v>
      </c>
      <c r="AK11" s="12">
        <v>331</v>
      </c>
      <c r="AL11" s="12">
        <v>397</v>
      </c>
      <c r="AM11" s="1">
        <v>80</v>
      </c>
      <c r="AN11" s="12">
        <v>159</v>
      </c>
      <c r="AO11" s="12">
        <v>239</v>
      </c>
      <c r="AP11" s="12">
        <v>318</v>
      </c>
      <c r="AQ11" s="12">
        <v>398</v>
      </c>
      <c r="AR11" s="7">
        <v>477</v>
      </c>
      <c r="AS11" s="1">
        <v>19</v>
      </c>
      <c r="AT11" s="12">
        <v>37</v>
      </c>
      <c r="AU11" s="12">
        <v>56</v>
      </c>
      <c r="AV11" s="12">
        <v>74</v>
      </c>
      <c r="AW11" s="12">
        <v>93</v>
      </c>
      <c r="AX11" s="12">
        <v>111</v>
      </c>
      <c r="AY11" s="1">
        <v>22</v>
      </c>
      <c r="AZ11" s="12">
        <v>44</v>
      </c>
      <c r="BA11" s="12">
        <v>66</v>
      </c>
      <c r="BB11" s="12">
        <v>88</v>
      </c>
      <c r="BC11" s="12">
        <v>110</v>
      </c>
      <c r="BD11" s="12">
        <v>132</v>
      </c>
      <c r="BE11" s="1">
        <v>26</v>
      </c>
      <c r="BF11" s="12">
        <v>53</v>
      </c>
      <c r="BG11" s="12">
        <v>79</v>
      </c>
      <c r="BH11" s="12">
        <v>105</v>
      </c>
      <c r="BI11" s="12">
        <v>132</v>
      </c>
      <c r="BJ11" s="12">
        <v>158</v>
      </c>
      <c r="BK11" s="1">
        <v>32</v>
      </c>
      <c r="BL11" s="6">
        <v>64</v>
      </c>
      <c r="BM11" s="6">
        <v>96</v>
      </c>
      <c r="BN11" s="6">
        <v>128</v>
      </c>
      <c r="BO11" s="6">
        <v>160</v>
      </c>
      <c r="BP11" s="6">
        <v>192</v>
      </c>
      <c r="BQ11" s="1">
        <v>39</v>
      </c>
      <c r="BR11" s="12">
        <v>77</v>
      </c>
      <c r="BS11" s="12">
        <v>116</v>
      </c>
      <c r="BT11" s="12">
        <v>155</v>
      </c>
      <c r="BU11" s="12">
        <v>193</v>
      </c>
      <c r="BV11" s="12">
        <v>232</v>
      </c>
      <c r="BW11" s="1">
        <v>47</v>
      </c>
      <c r="BX11" s="12">
        <v>94</v>
      </c>
      <c r="BY11" s="12">
        <v>141</v>
      </c>
      <c r="BZ11" s="12">
        <v>187</v>
      </c>
      <c r="CA11" s="12">
        <v>234</v>
      </c>
      <c r="CB11" s="12">
        <v>281</v>
      </c>
      <c r="CC11" s="1">
        <v>56</v>
      </c>
      <c r="CD11" s="12">
        <v>112</v>
      </c>
      <c r="CE11" s="12">
        <v>169</v>
      </c>
      <c r="CF11" s="12">
        <v>225</v>
      </c>
      <c r="CG11" s="12">
        <v>281</v>
      </c>
      <c r="CH11" s="7">
        <v>337</v>
      </c>
      <c r="CI11" s="1">
        <v>14</v>
      </c>
      <c r="CJ11" s="12">
        <v>28</v>
      </c>
      <c r="CK11" s="12">
        <v>42</v>
      </c>
      <c r="CL11" s="12">
        <v>55</v>
      </c>
      <c r="CM11" s="12">
        <v>69</v>
      </c>
      <c r="CN11" s="12">
        <v>83</v>
      </c>
      <c r="CO11" s="1">
        <v>17</v>
      </c>
      <c r="CP11" s="12">
        <v>33</v>
      </c>
      <c r="CQ11" s="12">
        <v>50</v>
      </c>
      <c r="CR11" s="12">
        <v>66</v>
      </c>
      <c r="CS11" s="12">
        <v>83</v>
      </c>
      <c r="CT11" s="12">
        <v>99</v>
      </c>
      <c r="CU11" s="1">
        <v>20</v>
      </c>
      <c r="CV11" s="12">
        <v>40</v>
      </c>
      <c r="CW11" s="12">
        <v>60</v>
      </c>
      <c r="CX11" s="12">
        <v>79</v>
      </c>
      <c r="CY11" s="12">
        <v>99</v>
      </c>
      <c r="CZ11" s="12">
        <v>119</v>
      </c>
      <c r="DA11" s="1">
        <v>24</v>
      </c>
      <c r="DB11" s="12">
        <v>48</v>
      </c>
      <c r="DC11" s="12">
        <v>72</v>
      </c>
      <c r="DD11" s="12">
        <v>96</v>
      </c>
      <c r="DE11" s="12">
        <v>120</v>
      </c>
      <c r="DF11" s="12">
        <v>144</v>
      </c>
      <c r="DG11" s="1">
        <v>29</v>
      </c>
      <c r="DH11" s="12">
        <v>58</v>
      </c>
      <c r="DI11" s="12">
        <v>87</v>
      </c>
      <c r="DJ11" s="12">
        <v>116</v>
      </c>
      <c r="DK11" s="12">
        <v>145</v>
      </c>
      <c r="DL11" s="12">
        <v>174</v>
      </c>
      <c r="DM11" s="1">
        <v>35</v>
      </c>
      <c r="DN11" s="12">
        <v>70</v>
      </c>
      <c r="DO11" s="12">
        <v>106</v>
      </c>
      <c r="DP11" s="12">
        <v>141</v>
      </c>
      <c r="DQ11" s="12">
        <v>176</v>
      </c>
      <c r="DR11" s="12">
        <v>211</v>
      </c>
      <c r="DS11" s="1">
        <v>42</v>
      </c>
      <c r="DT11" s="12">
        <v>84</v>
      </c>
      <c r="DU11" s="12">
        <v>127</v>
      </c>
      <c r="DV11" s="12">
        <v>169</v>
      </c>
      <c r="DW11" s="12">
        <v>211</v>
      </c>
      <c r="DX11" s="7">
        <v>253</v>
      </c>
      <c r="DY11" s="1">
        <v>9</v>
      </c>
      <c r="DZ11" s="12">
        <v>19</v>
      </c>
      <c r="EA11" s="12">
        <v>28</v>
      </c>
      <c r="EB11" s="12">
        <v>37</v>
      </c>
      <c r="EC11" s="12">
        <v>47</v>
      </c>
      <c r="ED11" s="12">
        <v>56</v>
      </c>
      <c r="EE11" s="1">
        <v>11</v>
      </c>
      <c r="EF11" s="12">
        <v>22</v>
      </c>
      <c r="EG11" s="12">
        <v>33</v>
      </c>
      <c r="EH11" s="12">
        <v>44</v>
      </c>
      <c r="EI11" s="12">
        <v>55</v>
      </c>
      <c r="EJ11" s="12">
        <v>66</v>
      </c>
      <c r="EK11" s="1">
        <v>13</v>
      </c>
      <c r="EL11" s="12">
        <v>26</v>
      </c>
      <c r="EM11" s="12">
        <v>40</v>
      </c>
      <c r="EN11" s="12">
        <v>53</v>
      </c>
      <c r="EO11" s="12">
        <v>66</v>
      </c>
      <c r="EP11" s="12">
        <v>79</v>
      </c>
      <c r="EQ11" s="1">
        <v>16</v>
      </c>
      <c r="ER11" s="12">
        <v>32</v>
      </c>
      <c r="ES11" s="12">
        <v>48</v>
      </c>
      <c r="ET11" s="12">
        <v>64</v>
      </c>
      <c r="EU11" s="12">
        <v>80</v>
      </c>
      <c r="EV11" s="12">
        <v>96</v>
      </c>
      <c r="EW11" s="1">
        <v>19</v>
      </c>
      <c r="EX11" s="12">
        <v>39</v>
      </c>
      <c r="EY11" s="12">
        <v>58</v>
      </c>
      <c r="EZ11" s="12">
        <v>77</v>
      </c>
      <c r="FA11" s="12">
        <v>97</v>
      </c>
      <c r="FB11" s="12">
        <v>116</v>
      </c>
      <c r="FC11" s="1">
        <v>24</v>
      </c>
      <c r="FD11" s="12">
        <v>47</v>
      </c>
      <c r="FE11" s="12">
        <v>71</v>
      </c>
      <c r="FF11" s="12">
        <v>94</v>
      </c>
      <c r="FG11" s="12">
        <v>118</v>
      </c>
      <c r="FH11" s="12">
        <v>141</v>
      </c>
      <c r="FI11" s="1">
        <v>28</v>
      </c>
      <c r="FJ11" s="12">
        <v>56</v>
      </c>
      <c r="FK11" s="12">
        <v>85</v>
      </c>
      <c r="FL11" s="12">
        <v>113</v>
      </c>
      <c r="FM11" s="12">
        <v>141</v>
      </c>
      <c r="FN11" s="7">
        <v>169</v>
      </c>
      <c r="FO11" s="1">
        <v>7</v>
      </c>
      <c r="FP11" s="12">
        <v>14</v>
      </c>
      <c r="FQ11" s="12">
        <v>21</v>
      </c>
      <c r="FR11" s="12">
        <v>28</v>
      </c>
      <c r="FS11" s="12">
        <v>35</v>
      </c>
      <c r="FT11" s="12">
        <v>42</v>
      </c>
      <c r="FU11" s="1">
        <v>8</v>
      </c>
      <c r="FV11" s="12">
        <v>17</v>
      </c>
      <c r="FW11" s="12">
        <v>25</v>
      </c>
      <c r="FX11" s="12">
        <v>33</v>
      </c>
      <c r="FY11" s="12">
        <v>42</v>
      </c>
      <c r="FZ11" s="12">
        <v>50</v>
      </c>
      <c r="GA11" s="1">
        <v>10</v>
      </c>
      <c r="GB11" s="12">
        <v>20</v>
      </c>
      <c r="GC11" s="12">
        <v>30</v>
      </c>
      <c r="GD11" s="36">
        <v>39</v>
      </c>
      <c r="GE11" s="12">
        <v>49</v>
      </c>
      <c r="GF11" s="12">
        <v>59</v>
      </c>
      <c r="GG11" s="1">
        <v>12</v>
      </c>
      <c r="GH11" s="6">
        <v>24</v>
      </c>
      <c r="GI11" s="12">
        <v>36</v>
      </c>
      <c r="GJ11" s="12">
        <v>48</v>
      </c>
      <c r="GK11" s="12">
        <v>60</v>
      </c>
      <c r="GL11" s="12">
        <v>72</v>
      </c>
      <c r="GM11" s="1">
        <v>15</v>
      </c>
      <c r="GN11" s="12">
        <v>29</v>
      </c>
      <c r="GO11" s="12">
        <v>44</v>
      </c>
      <c r="GP11" s="12">
        <v>58</v>
      </c>
      <c r="GQ11" s="12">
        <v>73</v>
      </c>
      <c r="GR11" s="12">
        <v>87</v>
      </c>
      <c r="GS11" s="1">
        <v>18</v>
      </c>
      <c r="GT11" s="12">
        <v>35</v>
      </c>
      <c r="GU11" s="12">
        <v>53</v>
      </c>
      <c r="GV11" s="12">
        <v>70</v>
      </c>
      <c r="GW11" s="12">
        <v>88</v>
      </c>
      <c r="GX11" s="12">
        <v>105</v>
      </c>
      <c r="GY11" s="1">
        <v>21</v>
      </c>
      <c r="GZ11" s="12">
        <v>42</v>
      </c>
      <c r="HA11" s="12">
        <v>63</v>
      </c>
      <c r="HB11" s="12">
        <v>84</v>
      </c>
      <c r="HC11" s="12">
        <v>105</v>
      </c>
      <c r="HD11" s="7">
        <v>126</v>
      </c>
      <c r="HE11" s="28">
        <v>5</v>
      </c>
      <c r="HF11" s="12">
        <v>9</v>
      </c>
      <c r="HG11" s="12">
        <v>14</v>
      </c>
      <c r="HH11" s="12">
        <v>19</v>
      </c>
      <c r="HI11" s="12">
        <v>23</v>
      </c>
      <c r="HJ11" s="12">
        <v>28</v>
      </c>
      <c r="HK11" s="1">
        <v>6</v>
      </c>
      <c r="HL11" s="12">
        <v>11</v>
      </c>
      <c r="HM11" s="12">
        <v>17</v>
      </c>
      <c r="HN11" s="12">
        <v>22</v>
      </c>
      <c r="HO11" s="12">
        <v>28</v>
      </c>
      <c r="HP11" s="12">
        <v>33</v>
      </c>
      <c r="HQ11" s="1">
        <v>7</v>
      </c>
      <c r="HR11" s="12">
        <v>13</v>
      </c>
      <c r="HS11" s="12">
        <v>20</v>
      </c>
      <c r="HT11" s="12">
        <v>27</v>
      </c>
      <c r="HU11" s="12">
        <v>33</v>
      </c>
      <c r="HV11" s="12">
        <v>40</v>
      </c>
      <c r="HW11" s="1">
        <v>8</v>
      </c>
      <c r="HX11" s="12">
        <v>16</v>
      </c>
      <c r="HY11" s="12">
        <v>24</v>
      </c>
      <c r="HZ11" s="12">
        <v>32</v>
      </c>
      <c r="IA11" s="6">
        <v>40</v>
      </c>
      <c r="IB11" s="12">
        <v>48</v>
      </c>
      <c r="IC11" s="1">
        <v>10</v>
      </c>
      <c r="ID11" s="12">
        <v>19</v>
      </c>
      <c r="IE11" s="12">
        <v>29</v>
      </c>
      <c r="IF11" s="12">
        <v>39</v>
      </c>
      <c r="IG11" s="36">
        <v>48</v>
      </c>
      <c r="IH11" s="12">
        <v>58</v>
      </c>
      <c r="II11" s="1">
        <v>12</v>
      </c>
      <c r="IJ11" s="12">
        <v>23</v>
      </c>
      <c r="IK11" s="12">
        <v>35</v>
      </c>
      <c r="IL11" s="12">
        <v>47</v>
      </c>
      <c r="IM11" s="36">
        <v>58</v>
      </c>
      <c r="IN11" s="12">
        <v>70</v>
      </c>
      <c r="IO11" s="1">
        <v>14</v>
      </c>
      <c r="IP11" s="12">
        <v>28</v>
      </c>
      <c r="IQ11" s="12">
        <v>42</v>
      </c>
      <c r="IR11" s="12">
        <v>56</v>
      </c>
      <c r="IS11" s="12">
        <v>70</v>
      </c>
      <c r="IT11" s="7">
        <v>84</v>
      </c>
      <c r="IU11" s="191">
        <v>0</v>
      </c>
    </row>
    <row r="12" spans="1:255" x14ac:dyDescent="0.2">
      <c r="A12">
        <v>8</v>
      </c>
      <c r="B12" s="18">
        <v>1.8</v>
      </c>
      <c r="C12" s="28">
        <v>27</v>
      </c>
      <c r="D12" s="12">
        <v>54</v>
      </c>
      <c r="E12" s="12">
        <v>81</v>
      </c>
      <c r="F12" s="12">
        <v>108</v>
      </c>
      <c r="G12" s="6">
        <v>135</v>
      </c>
      <c r="H12" s="12">
        <v>162</v>
      </c>
      <c r="I12" s="1">
        <v>32</v>
      </c>
      <c r="J12" s="12">
        <v>64</v>
      </c>
      <c r="K12" s="12">
        <v>97</v>
      </c>
      <c r="L12" s="12">
        <v>129</v>
      </c>
      <c r="M12" s="12">
        <v>161</v>
      </c>
      <c r="N12" s="12">
        <v>193</v>
      </c>
      <c r="O12" s="1">
        <v>39</v>
      </c>
      <c r="P12" s="12">
        <v>77</v>
      </c>
      <c r="Q12" s="12">
        <v>116</v>
      </c>
      <c r="R12" s="12">
        <v>154</v>
      </c>
      <c r="S12" s="12">
        <v>193</v>
      </c>
      <c r="T12" s="12">
        <v>231</v>
      </c>
      <c r="U12" s="1">
        <v>47</v>
      </c>
      <c r="V12" s="12">
        <v>93</v>
      </c>
      <c r="W12" s="12">
        <v>140</v>
      </c>
      <c r="X12" s="12">
        <v>186</v>
      </c>
      <c r="Y12" s="12">
        <v>233</v>
      </c>
      <c r="Z12" s="12">
        <v>279</v>
      </c>
      <c r="AA12" s="1">
        <v>56</v>
      </c>
      <c r="AB12" s="12">
        <v>113</v>
      </c>
      <c r="AC12" s="12">
        <v>169</v>
      </c>
      <c r="AD12" s="12">
        <v>225</v>
      </c>
      <c r="AE12" s="12">
        <v>282</v>
      </c>
      <c r="AF12" s="12">
        <v>338</v>
      </c>
      <c r="AG12" s="1">
        <v>68</v>
      </c>
      <c r="AH12" s="12">
        <v>136</v>
      </c>
      <c r="AI12" s="12">
        <v>204</v>
      </c>
      <c r="AJ12" s="12">
        <v>271</v>
      </c>
      <c r="AK12" s="12">
        <v>339</v>
      </c>
      <c r="AL12" s="12">
        <v>407</v>
      </c>
      <c r="AM12" s="1">
        <v>82</v>
      </c>
      <c r="AN12" s="12">
        <v>163</v>
      </c>
      <c r="AO12" s="12">
        <v>245</v>
      </c>
      <c r="AP12" s="12">
        <v>326</v>
      </c>
      <c r="AQ12" s="12">
        <v>408</v>
      </c>
      <c r="AR12" s="7">
        <v>489</v>
      </c>
      <c r="AS12" s="1">
        <v>19</v>
      </c>
      <c r="AT12" s="12">
        <v>38</v>
      </c>
      <c r="AU12" s="12">
        <v>57</v>
      </c>
      <c r="AV12" s="12">
        <v>76</v>
      </c>
      <c r="AW12" s="12">
        <v>95</v>
      </c>
      <c r="AX12" s="12">
        <v>114</v>
      </c>
      <c r="AY12" s="1">
        <v>23</v>
      </c>
      <c r="AZ12" s="12">
        <v>45</v>
      </c>
      <c r="BA12" s="12">
        <v>68</v>
      </c>
      <c r="BB12" s="12">
        <v>90</v>
      </c>
      <c r="BC12" s="12">
        <v>113</v>
      </c>
      <c r="BD12" s="12">
        <v>135</v>
      </c>
      <c r="BE12" s="1">
        <v>27</v>
      </c>
      <c r="BF12" s="12">
        <v>54</v>
      </c>
      <c r="BG12" s="12">
        <v>81</v>
      </c>
      <c r="BH12" s="12">
        <v>108</v>
      </c>
      <c r="BI12" s="12">
        <v>135</v>
      </c>
      <c r="BJ12" s="12">
        <v>162</v>
      </c>
      <c r="BK12" s="1">
        <v>33</v>
      </c>
      <c r="BL12" s="6">
        <v>65</v>
      </c>
      <c r="BM12" s="6">
        <v>98</v>
      </c>
      <c r="BN12" s="6">
        <v>131</v>
      </c>
      <c r="BO12" s="6">
        <v>163</v>
      </c>
      <c r="BP12" s="6">
        <v>196</v>
      </c>
      <c r="BQ12" s="1">
        <v>40</v>
      </c>
      <c r="BR12" s="12">
        <v>79</v>
      </c>
      <c r="BS12" s="12">
        <v>119</v>
      </c>
      <c r="BT12" s="12">
        <v>159</v>
      </c>
      <c r="BU12" s="12">
        <v>198</v>
      </c>
      <c r="BV12" s="12">
        <v>238</v>
      </c>
      <c r="BW12" s="1">
        <v>48</v>
      </c>
      <c r="BX12" s="12">
        <v>96</v>
      </c>
      <c r="BY12" s="12">
        <v>144</v>
      </c>
      <c r="BZ12" s="12">
        <v>191</v>
      </c>
      <c r="CA12" s="12">
        <v>239</v>
      </c>
      <c r="CB12" s="12">
        <v>287</v>
      </c>
      <c r="CC12" s="1">
        <v>58</v>
      </c>
      <c r="CD12" s="12">
        <v>115</v>
      </c>
      <c r="CE12" s="12">
        <v>173</v>
      </c>
      <c r="CF12" s="12">
        <v>230</v>
      </c>
      <c r="CG12" s="12">
        <v>288</v>
      </c>
      <c r="CH12" s="7">
        <v>345</v>
      </c>
      <c r="CI12" s="1">
        <v>14</v>
      </c>
      <c r="CJ12" s="12">
        <v>29</v>
      </c>
      <c r="CK12" s="12">
        <v>43</v>
      </c>
      <c r="CL12" s="12">
        <v>57</v>
      </c>
      <c r="CM12" s="12">
        <v>72</v>
      </c>
      <c r="CN12" s="12">
        <v>86</v>
      </c>
      <c r="CO12" s="1">
        <v>17</v>
      </c>
      <c r="CP12" s="12">
        <v>34</v>
      </c>
      <c r="CQ12" s="12">
        <v>51</v>
      </c>
      <c r="CR12" s="12">
        <v>67</v>
      </c>
      <c r="CS12" s="12">
        <v>84</v>
      </c>
      <c r="CT12" s="12">
        <v>101</v>
      </c>
      <c r="CU12" s="1">
        <v>20</v>
      </c>
      <c r="CV12" s="12">
        <v>41</v>
      </c>
      <c r="CW12" s="12">
        <v>61</v>
      </c>
      <c r="CX12" s="12">
        <v>81</v>
      </c>
      <c r="CY12" s="12">
        <v>102</v>
      </c>
      <c r="CZ12" s="12">
        <v>122</v>
      </c>
      <c r="DA12" s="1">
        <v>25</v>
      </c>
      <c r="DB12" s="12">
        <v>49</v>
      </c>
      <c r="DC12" s="12">
        <v>74</v>
      </c>
      <c r="DD12" s="12">
        <v>98</v>
      </c>
      <c r="DE12" s="12">
        <v>123</v>
      </c>
      <c r="DF12" s="12">
        <v>147</v>
      </c>
      <c r="DG12" s="1">
        <v>30</v>
      </c>
      <c r="DH12" s="12">
        <v>60</v>
      </c>
      <c r="DI12" s="12">
        <v>90</v>
      </c>
      <c r="DJ12" s="12">
        <v>119</v>
      </c>
      <c r="DK12" s="12">
        <v>149</v>
      </c>
      <c r="DL12" s="12">
        <v>179</v>
      </c>
      <c r="DM12" s="1">
        <v>36</v>
      </c>
      <c r="DN12" s="12">
        <v>72</v>
      </c>
      <c r="DO12" s="12">
        <v>108</v>
      </c>
      <c r="DP12" s="36">
        <v>143</v>
      </c>
      <c r="DQ12" s="12">
        <v>179</v>
      </c>
      <c r="DR12" s="12">
        <v>215</v>
      </c>
      <c r="DS12" s="1">
        <v>43</v>
      </c>
      <c r="DT12" s="12">
        <v>86</v>
      </c>
      <c r="DU12" s="12">
        <v>130</v>
      </c>
      <c r="DV12" s="12">
        <v>173</v>
      </c>
      <c r="DW12" s="12">
        <v>216</v>
      </c>
      <c r="DX12" s="7">
        <v>259</v>
      </c>
      <c r="DY12" s="1">
        <v>10</v>
      </c>
      <c r="DZ12" s="12">
        <v>19</v>
      </c>
      <c r="EA12" s="12">
        <v>29</v>
      </c>
      <c r="EB12" s="12">
        <v>38</v>
      </c>
      <c r="EC12" s="12">
        <v>48</v>
      </c>
      <c r="ED12" s="12">
        <v>57</v>
      </c>
      <c r="EE12" s="1">
        <v>11</v>
      </c>
      <c r="EF12" s="12">
        <v>23</v>
      </c>
      <c r="EG12" s="12">
        <v>34</v>
      </c>
      <c r="EH12" s="12">
        <v>45</v>
      </c>
      <c r="EI12" s="12">
        <v>57</v>
      </c>
      <c r="EJ12" s="12">
        <v>68</v>
      </c>
      <c r="EK12" s="1">
        <v>14</v>
      </c>
      <c r="EL12" s="12">
        <v>27</v>
      </c>
      <c r="EM12" s="12">
        <v>41</v>
      </c>
      <c r="EN12" s="12">
        <v>54</v>
      </c>
      <c r="EO12" s="12">
        <v>68</v>
      </c>
      <c r="EP12" s="12">
        <v>81</v>
      </c>
      <c r="EQ12" s="1">
        <v>16</v>
      </c>
      <c r="ER12" s="12">
        <v>33</v>
      </c>
      <c r="ES12" s="12">
        <v>49</v>
      </c>
      <c r="ET12" s="12">
        <v>65</v>
      </c>
      <c r="EU12" s="12">
        <v>82</v>
      </c>
      <c r="EV12" s="12">
        <v>98</v>
      </c>
      <c r="EW12" s="1">
        <v>20</v>
      </c>
      <c r="EX12" s="12">
        <v>40</v>
      </c>
      <c r="EY12" s="12">
        <v>60</v>
      </c>
      <c r="EZ12" s="12">
        <v>79</v>
      </c>
      <c r="FA12" s="12">
        <v>99</v>
      </c>
      <c r="FB12" s="12">
        <v>119</v>
      </c>
      <c r="FC12" s="1">
        <v>24</v>
      </c>
      <c r="FD12" s="12">
        <v>48</v>
      </c>
      <c r="FE12" s="12">
        <v>72</v>
      </c>
      <c r="FF12" s="12">
        <v>96</v>
      </c>
      <c r="FG12" s="12">
        <v>120</v>
      </c>
      <c r="FH12" s="12">
        <v>144</v>
      </c>
      <c r="FI12" s="1">
        <v>29</v>
      </c>
      <c r="FJ12" s="12">
        <v>58</v>
      </c>
      <c r="FK12" s="12">
        <v>87</v>
      </c>
      <c r="FL12" s="12">
        <v>115</v>
      </c>
      <c r="FM12" s="12">
        <v>144</v>
      </c>
      <c r="FN12" s="7">
        <v>173</v>
      </c>
      <c r="FO12" s="1">
        <v>7</v>
      </c>
      <c r="FP12" s="12">
        <v>14</v>
      </c>
      <c r="FQ12" s="12">
        <v>22</v>
      </c>
      <c r="FR12" s="12">
        <v>29</v>
      </c>
      <c r="FS12" s="12">
        <v>36</v>
      </c>
      <c r="FT12" s="12">
        <v>43</v>
      </c>
      <c r="FU12" s="1">
        <v>9</v>
      </c>
      <c r="FV12" s="12">
        <v>17</v>
      </c>
      <c r="FW12" s="12">
        <v>26</v>
      </c>
      <c r="FX12" s="12">
        <v>34</v>
      </c>
      <c r="FY12" s="12">
        <v>43</v>
      </c>
      <c r="FZ12" s="12">
        <v>51</v>
      </c>
      <c r="GA12" s="1">
        <v>10</v>
      </c>
      <c r="GB12" s="12">
        <v>20</v>
      </c>
      <c r="GC12" s="12">
        <v>31</v>
      </c>
      <c r="GD12" s="188">
        <v>41</v>
      </c>
      <c r="GE12" s="12">
        <v>51</v>
      </c>
      <c r="GF12" s="12">
        <v>61</v>
      </c>
      <c r="GG12" s="1">
        <v>12</v>
      </c>
      <c r="GH12" s="6">
        <v>25</v>
      </c>
      <c r="GI12" s="12">
        <v>37</v>
      </c>
      <c r="GJ12" s="12">
        <v>49</v>
      </c>
      <c r="GK12" s="12">
        <v>62</v>
      </c>
      <c r="GL12" s="12">
        <v>74</v>
      </c>
      <c r="GM12" s="1">
        <v>15</v>
      </c>
      <c r="GN12" s="12">
        <v>30</v>
      </c>
      <c r="GO12" s="12">
        <v>45</v>
      </c>
      <c r="GP12" s="12">
        <v>59</v>
      </c>
      <c r="GQ12" s="12">
        <v>74</v>
      </c>
      <c r="GR12" s="12">
        <v>89</v>
      </c>
      <c r="GS12" s="1">
        <v>18</v>
      </c>
      <c r="GT12" s="12">
        <v>36</v>
      </c>
      <c r="GU12" s="12">
        <v>54</v>
      </c>
      <c r="GV12" s="12">
        <v>72</v>
      </c>
      <c r="GW12" s="12">
        <v>90</v>
      </c>
      <c r="GX12" s="12">
        <v>108</v>
      </c>
      <c r="GY12" s="1">
        <v>22</v>
      </c>
      <c r="GZ12" s="12">
        <v>43</v>
      </c>
      <c r="HA12" s="12">
        <v>65</v>
      </c>
      <c r="HB12" s="12">
        <v>86</v>
      </c>
      <c r="HC12" s="12">
        <v>108</v>
      </c>
      <c r="HD12" s="7">
        <v>129</v>
      </c>
      <c r="HE12" s="28">
        <v>5</v>
      </c>
      <c r="HF12" s="12">
        <v>10</v>
      </c>
      <c r="HG12" s="12">
        <v>15</v>
      </c>
      <c r="HH12" s="12">
        <v>19</v>
      </c>
      <c r="HI12" s="12">
        <v>24</v>
      </c>
      <c r="HJ12" s="12">
        <v>29</v>
      </c>
      <c r="HK12" s="1">
        <v>6</v>
      </c>
      <c r="HL12" s="12">
        <v>11</v>
      </c>
      <c r="HM12" s="12">
        <v>17</v>
      </c>
      <c r="HN12" s="12">
        <v>23</v>
      </c>
      <c r="HO12" s="12">
        <v>28</v>
      </c>
      <c r="HP12" s="12">
        <v>34</v>
      </c>
      <c r="HQ12" s="1">
        <v>7</v>
      </c>
      <c r="HR12" s="12">
        <v>14</v>
      </c>
      <c r="HS12" s="12">
        <v>21</v>
      </c>
      <c r="HT12" s="12">
        <v>27</v>
      </c>
      <c r="HU12" s="12">
        <v>34</v>
      </c>
      <c r="HV12" s="12">
        <v>41</v>
      </c>
      <c r="HW12" s="1">
        <v>8</v>
      </c>
      <c r="HX12" s="12">
        <v>16</v>
      </c>
      <c r="HY12" s="12">
        <v>25</v>
      </c>
      <c r="HZ12" s="12">
        <v>33</v>
      </c>
      <c r="IA12" s="6">
        <v>41</v>
      </c>
      <c r="IB12" s="12">
        <v>49</v>
      </c>
      <c r="IC12" s="1">
        <v>10</v>
      </c>
      <c r="ID12" s="12">
        <v>20</v>
      </c>
      <c r="IE12" s="12">
        <v>30</v>
      </c>
      <c r="IF12" s="12">
        <v>40</v>
      </c>
      <c r="IG12" s="12">
        <v>50</v>
      </c>
      <c r="IH12" s="12">
        <v>60</v>
      </c>
      <c r="II12" s="1">
        <v>12</v>
      </c>
      <c r="IJ12" s="12">
        <v>24</v>
      </c>
      <c r="IK12" s="12">
        <v>36</v>
      </c>
      <c r="IL12" s="12">
        <v>48</v>
      </c>
      <c r="IM12" s="12">
        <v>60</v>
      </c>
      <c r="IN12" s="12">
        <v>72</v>
      </c>
      <c r="IO12" s="1">
        <v>14</v>
      </c>
      <c r="IP12" s="12">
        <v>29</v>
      </c>
      <c r="IQ12" s="12">
        <v>43</v>
      </c>
      <c r="IR12" s="12">
        <v>57</v>
      </c>
      <c r="IS12" s="12">
        <v>72</v>
      </c>
      <c r="IT12" s="7">
        <v>86</v>
      </c>
      <c r="IU12" s="191">
        <v>0</v>
      </c>
    </row>
    <row r="13" spans="1:255" x14ac:dyDescent="0.2">
      <c r="A13">
        <v>9</v>
      </c>
      <c r="B13" s="18">
        <v>2</v>
      </c>
      <c r="C13" s="28">
        <v>28</v>
      </c>
      <c r="D13" s="12">
        <v>55</v>
      </c>
      <c r="E13" s="12">
        <v>83</v>
      </c>
      <c r="F13" s="12">
        <v>110</v>
      </c>
      <c r="G13" s="6">
        <v>138</v>
      </c>
      <c r="H13" s="12">
        <v>165</v>
      </c>
      <c r="I13" s="1">
        <v>33</v>
      </c>
      <c r="J13" s="12">
        <v>66</v>
      </c>
      <c r="K13" s="12">
        <v>99</v>
      </c>
      <c r="L13" s="12">
        <v>131</v>
      </c>
      <c r="M13" s="12">
        <v>164</v>
      </c>
      <c r="N13" s="12">
        <v>197</v>
      </c>
      <c r="O13" s="1">
        <v>39</v>
      </c>
      <c r="P13" s="12">
        <v>79</v>
      </c>
      <c r="Q13" s="12">
        <v>118</v>
      </c>
      <c r="R13" s="12">
        <v>157</v>
      </c>
      <c r="S13" s="12">
        <v>197</v>
      </c>
      <c r="T13" s="12">
        <v>236</v>
      </c>
      <c r="U13" s="1">
        <v>48</v>
      </c>
      <c r="V13" s="12">
        <v>95</v>
      </c>
      <c r="W13" s="12">
        <v>143</v>
      </c>
      <c r="X13" s="12">
        <v>191</v>
      </c>
      <c r="Y13" s="12">
        <v>238</v>
      </c>
      <c r="Z13" s="12">
        <v>286</v>
      </c>
      <c r="AA13" s="1">
        <v>58</v>
      </c>
      <c r="AB13" s="12">
        <v>115</v>
      </c>
      <c r="AC13" s="12">
        <v>173</v>
      </c>
      <c r="AD13" s="12">
        <v>231</v>
      </c>
      <c r="AE13" s="12">
        <v>288</v>
      </c>
      <c r="AF13" s="12">
        <v>346</v>
      </c>
      <c r="AG13" s="1">
        <v>70</v>
      </c>
      <c r="AH13" s="12">
        <v>139</v>
      </c>
      <c r="AI13" s="12">
        <v>209</v>
      </c>
      <c r="AJ13" s="12">
        <v>278</v>
      </c>
      <c r="AK13" s="12">
        <v>348</v>
      </c>
      <c r="AL13" s="12">
        <v>417</v>
      </c>
      <c r="AM13" s="1">
        <v>83</v>
      </c>
      <c r="AN13" s="12">
        <v>167</v>
      </c>
      <c r="AO13" s="12">
        <v>250</v>
      </c>
      <c r="AP13" s="12">
        <v>333</v>
      </c>
      <c r="AQ13" s="12">
        <v>417</v>
      </c>
      <c r="AR13" s="7">
        <v>500</v>
      </c>
      <c r="AS13" s="1">
        <v>19</v>
      </c>
      <c r="AT13" s="12">
        <v>39</v>
      </c>
      <c r="AU13" s="12">
        <v>58</v>
      </c>
      <c r="AV13" s="12">
        <v>77</v>
      </c>
      <c r="AW13" s="12">
        <v>97</v>
      </c>
      <c r="AX13" s="12">
        <v>116</v>
      </c>
      <c r="AY13" s="1">
        <v>23</v>
      </c>
      <c r="AZ13" s="12">
        <v>46</v>
      </c>
      <c r="BA13" s="12">
        <v>69</v>
      </c>
      <c r="BB13" s="12">
        <v>92</v>
      </c>
      <c r="BC13" s="12">
        <v>115</v>
      </c>
      <c r="BD13" s="12">
        <v>138</v>
      </c>
      <c r="BE13" s="1">
        <v>28</v>
      </c>
      <c r="BF13" s="12">
        <v>55</v>
      </c>
      <c r="BG13" s="12">
        <v>83</v>
      </c>
      <c r="BH13" s="12">
        <v>110</v>
      </c>
      <c r="BI13" s="12">
        <v>138</v>
      </c>
      <c r="BJ13" s="12">
        <v>165</v>
      </c>
      <c r="BK13" s="1">
        <v>33</v>
      </c>
      <c r="BL13" s="6">
        <v>67</v>
      </c>
      <c r="BM13" s="6">
        <v>100</v>
      </c>
      <c r="BN13" s="6">
        <v>133</v>
      </c>
      <c r="BO13" s="6">
        <v>167</v>
      </c>
      <c r="BP13" s="6">
        <v>200</v>
      </c>
      <c r="BQ13" s="1">
        <v>41</v>
      </c>
      <c r="BR13" s="12">
        <v>81</v>
      </c>
      <c r="BS13" s="12">
        <v>122</v>
      </c>
      <c r="BT13" s="12">
        <v>162</v>
      </c>
      <c r="BU13" s="12">
        <v>203</v>
      </c>
      <c r="BV13" s="12">
        <v>243</v>
      </c>
      <c r="BW13" s="1">
        <v>49</v>
      </c>
      <c r="BX13" s="12">
        <v>98</v>
      </c>
      <c r="BY13" s="12">
        <v>147</v>
      </c>
      <c r="BZ13" s="12">
        <v>196</v>
      </c>
      <c r="CA13" s="12">
        <v>245</v>
      </c>
      <c r="CB13" s="12">
        <v>294</v>
      </c>
      <c r="CC13" s="1">
        <v>59</v>
      </c>
      <c r="CD13" s="12">
        <v>118</v>
      </c>
      <c r="CE13" s="12">
        <v>177</v>
      </c>
      <c r="CF13" s="12">
        <v>235</v>
      </c>
      <c r="CG13" s="12">
        <v>294</v>
      </c>
      <c r="CH13" s="7">
        <v>353</v>
      </c>
      <c r="CI13" s="1">
        <v>15</v>
      </c>
      <c r="CJ13" s="12">
        <v>29</v>
      </c>
      <c r="CK13" s="12">
        <v>44</v>
      </c>
      <c r="CL13" s="12">
        <v>58</v>
      </c>
      <c r="CM13" s="12">
        <v>73</v>
      </c>
      <c r="CN13" s="12">
        <v>87</v>
      </c>
      <c r="CO13" s="1">
        <v>17</v>
      </c>
      <c r="CP13" s="12">
        <v>35</v>
      </c>
      <c r="CQ13" s="12">
        <v>52</v>
      </c>
      <c r="CR13" s="12">
        <v>69</v>
      </c>
      <c r="CS13" s="143">
        <v>87</v>
      </c>
      <c r="CT13" s="12">
        <v>104</v>
      </c>
      <c r="CU13" s="1">
        <v>21</v>
      </c>
      <c r="CV13" s="12">
        <v>41</v>
      </c>
      <c r="CW13" s="12">
        <v>62</v>
      </c>
      <c r="CX13" s="12">
        <v>83</v>
      </c>
      <c r="CY13" s="12">
        <v>103</v>
      </c>
      <c r="CZ13" s="12">
        <v>124</v>
      </c>
      <c r="DA13" s="1">
        <v>25</v>
      </c>
      <c r="DB13" s="12">
        <v>50</v>
      </c>
      <c r="DC13" s="12">
        <v>75</v>
      </c>
      <c r="DD13" s="12">
        <v>100</v>
      </c>
      <c r="DE13" s="12">
        <v>125</v>
      </c>
      <c r="DF13" s="12">
        <v>150</v>
      </c>
      <c r="DG13" s="1">
        <v>30</v>
      </c>
      <c r="DH13" s="12">
        <v>61</v>
      </c>
      <c r="DI13" s="12">
        <v>91</v>
      </c>
      <c r="DJ13" s="12">
        <v>121</v>
      </c>
      <c r="DK13" s="12">
        <v>152</v>
      </c>
      <c r="DL13" s="12">
        <v>182</v>
      </c>
      <c r="DM13" s="1">
        <v>37</v>
      </c>
      <c r="DN13" s="12">
        <v>74</v>
      </c>
      <c r="DO13" s="12">
        <v>111</v>
      </c>
      <c r="DP13" s="12">
        <v>147</v>
      </c>
      <c r="DQ13" s="12">
        <v>184</v>
      </c>
      <c r="DR13" s="12">
        <v>221</v>
      </c>
      <c r="DS13" s="1">
        <v>44</v>
      </c>
      <c r="DT13" s="12">
        <v>88</v>
      </c>
      <c r="DU13" s="12">
        <v>133</v>
      </c>
      <c r="DV13" s="12">
        <v>177</v>
      </c>
      <c r="DW13" s="12">
        <v>221</v>
      </c>
      <c r="DX13" s="7">
        <v>265</v>
      </c>
      <c r="DY13" s="1">
        <v>10</v>
      </c>
      <c r="DZ13" s="12">
        <v>19</v>
      </c>
      <c r="EA13" s="12">
        <v>29</v>
      </c>
      <c r="EB13" s="12">
        <v>39</v>
      </c>
      <c r="EC13" s="12">
        <v>48</v>
      </c>
      <c r="ED13" s="12">
        <v>58</v>
      </c>
      <c r="EE13" s="1">
        <v>12</v>
      </c>
      <c r="EF13" s="12">
        <v>23</v>
      </c>
      <c r="EG13" s="12">
        <v>35</v>
      </c>
      <c r="EH13" s="12">
        <v>46</v>
      </c>
      <c r="EI13" s="12">
        <v>58</v>
      </c>
      <c r="EJ13" s="12">
        <v>69</v>
      </c>
      <c r="EK13" s="1">
        <v>14</v>
      </c>
      <c r="EL13" s="12">
        <v>28</v>
      </c>
      <c r="EM13" s="12">
        <v>42</v>
      </c>
      <c r="EN13" s="12">
        <v>55</v>
      </c>
      <c r="EO13" s="12">
        <v>69</v>
      </c>
      <c r="EP13" s="12">
        <v>83</v>
      </c>
      <c r="EQ13" s="1">
        <v>17</v>
      </c>
      <c r="ER13" s="12">
        <v>33</v>
      </c>
      <c r="ES13" s="12">
        <v>50</v>
      </c>
      <c r="ET13" s="12">
        <v>67</v>
      </c>
      <c r="EU13" s="12">
        <v>83</v>
      </c>
      <c r="EV13" s="12">
        <v>100</v>
      </c>
      <c r="EW13" s="1">
        <v>20</v>
      </c>
      <c r="EX13" s="12">
        <v>41</v>
      </c>
      <c r="EY13" s="12">
        <v>61</v>
      </c>
      <c r="EZ13" s="12">
        <v>81</v>
      </c>
      <c r="FA13" s="12">
        <v>102</v>
      </c>
      <c r="FB13" s="12">
        <v>122</v>
      </c>
      <c r="FC13" s="1">
        <v>25</v>
      </c>
      <c r="FD13" s="12">
        <v>49</v>
      </c>
      <c r="FE13" s="12">
        <v>74</v>
      </c>
      <c r="FF13" s="12">
        <v>98</v>
      </c>
      <c r="FG13" s="12">
        <v>123</v>
      </c>
      <c r="FH13" s="12">
        <v>147</v>
      </c>
      <c r="FI13" s="1">
        <v>30</v>
      </c>
      <c r="FJ13" s="12">
        <v>59</v>
      </c>
      <c r="FK13" s="12">
        <v>89</v>
      </c>
      <c r="FL13" s="12">
        <v>118</v>
      </c>
      <c r="FM13" s="12">
        <v>148</v>
      </c>
      <c r="FN13" s="7">
        <v>177</v>
      </c>
      <c r="FO13" s="1">
        <v>7</v>
      </c>
      <c r="FP13" s="12">
        <v>15</v>
      </c>
      <c r="FQ13" s="12">
        <v>22</v>
      </c>
      <c r="FR13" s="12">
        <v>29</v>
      </c>
      <c r="FS13" s="12">
        <v>37</v>
      </c>
      <c r="FT13" s="12">
        <v>44</v>
      </c>
      <c r="FU13" s="1">
        <v>9</v>
      </c>
      <c r="FV13" s="12">
        <v>17</v>
      </c>
      <c r="FW13" s="12">
        <v>26</v>
      </c>
      <c r="FX13" s="12">
        <v>35</v>
      </c>
      <c r="FY13" s="12">
        <v>43</v>
      </c>
      <c r="FZ13" s="12">
        <v>52</v>
      </c>
      <c r="GA13" s="1">
        <v>10</v>
      </c>
      <c r="GB13" s="12">
        <v>21</v>
      </c>
      <c r="GC13" s="12">
        <v>31</v>
      </c>
      <c r="GD13" s="12">
        <v>41</v>
      </c>
      <c r="GE13" s="12">
        <v>52</v>
      </c>
      <c r="GF13" s="12">
        <v>62</v>
      </c>
      <c r="GG13" s="1">
        <v>13</v>
      </c>
      <c r="GH13" s="6">
        <v>25</v>
      </c>
      <c r="GI13" s="12">
        <v>38</v>
      </c>
      <c r="GJ13" s="12">
        <v>50</v>
      </c>
      <c r="GK13" s="12">
        <v>63</v>
      </c>
      <c r="GL13" s="12">
        <v>75</v>
      </c>
      <c r="GM13" s="1">
        <v>15</v>
      </c>
      <c r="GN13" s="12">
        <v>30</v>
      </c>
      <c r="GO13" s="12">
        <v>46</v>
      </c>
      <c r="GP13" s="12">
        <v>61</v>
      </c>
      <c r="GQ13" s="12">
        <v>76</v>
      </c>
      <c r="GR13" s="12">
        <v>91</v>
      </c>
      <c r="GS13" s="1">
        <v>18</v>
      </c>
      <c r="GT13" s="12">
        <v>37</v>
      </c>
      <c r="GU13" s="12">
        <v>55</v>
      </c>
      <c r="GV13" s="12">
        <v>73</v>
      </c>
      <c r="GW13" s="12">
        <v>92</v>
      </c>
      <c r="GX13" s="12">
        <v>110</v>
      </c>
      <c r="GY13" s="1">
        <v>22</v>
      </c>
      <c r="GZ13" s="12">
        <v>44</v>
      </c>
      <c r="HA13" s="12">
        <v>66</v>
      </c>
      <c r="HB13" s="12">
        <v>88</v>
      </c>
      <c r="HC13" s="12">
        <v>110</v>
      </c>
      <c r="HD13" s="7">
        <v>132</v>
      </c>
      <c r="HE13" s="28">
        <v>5</v>
      </c>
      <c r="HF13" s="12">
        <v>10</v>
      </c>
      <c r="HG13" s="12">
        <v>15</v>
      </c>
      <c r="HH13" s="12">
        <v>19</v>
      </c>
      <c r="HI13" s="12">
        <v>24</v>
      </c>
      <c r="HJ13" s="12">
        <v>29</v>
      </c>
      <c r="HK13" s="1">
        <v>6</v>
      </c>
      <c r="HL13" s="12">
        <v>12</v>
      </c>
      <c r="HM13" s="12">
        <v>18</v>
      </c>
      <c r="HN13" s="12">
        <v>23</v>
      </c>
      <c r="HO13" s="12">
        <v>29</v>
      </c>
      <c r="HP13" s="12">
        <v>35</v>
      </c>
      <c r="HQ13" s="1">
        <v>7</v>
      </c>
      <c r="HR13" s="12">
        <v>14</v>
      </c>
      <c r="HS13" s="12">
        <v>21</v>
      </c>
      <c r="HT13" s="12">
        <v>27</v>
      </c>
      <c r="HU13" s="12">
        <v>35</v>
      </c>
      <c r="HV13" s="12">
        <v>41</v>
      </c>
      <c r="HW13" s="1">
        <v>8</v>
      </c>
      <c r="HX13" s="12">
        <v>17</v>
      </c>
      <c r="HY13" s="12">
        <v>25</v>
      </c>
      <c r="HZ13" s="12">
        <v>33</v>
      </c>
      <c r="IA13" s="6">
        <v>42</v>
      </c>
      <c r="IB13" s="12">
        <v>50</v>
      </c>
      <c r="IC13" s="1">
        <v>10</v>
      </c>
      <c r="ID13" s="12">
        <v>20</v>
      </c>
      <c r="IE13" s="12">
        <v>31</v>
      </c>
      <c r="IF13" s="12">
        <v>41</v>
      </c>
      <c r="IG13" s="12">
        <v>51</v>
      </c>
      <c r="IH13" s="12">
        <v>61</v>
      </c>
      <c r="II13" s="1">
        <v>12</v>
      </c>
      <c r="IJ13" s="12">
        <v>25</v>
      </c>
      <c r="IK13" s="12">
        <v>37</v>
      </c>
      <c r="IL13" s="12">
        <v>49</v>
      </c>
      <c r="IM13" s="12">
        <v>62</v>
      </c>
      <c r="IN13" s="12">
        <v>74</v>
      </c>
      <c r="IO13" s="1">
        <v>15</v>
      </c>
      <c r="IP13" s="12">
        <v>29</v>
      </c>
      <c r="IQ13" s="12">
        <v>44</v>
      </c>
      <c r="IR13" s="12">
        <v>59</v>
      </c>
      <c r="IS13" s="12">
        <v>73</v>
      </c>
      <c r="IT13" s="7">
        <v>88</v>
      </c>
      <c r="IU13" s="191">
        <v>0</v>
      </c>
    </row>
    <row r="14" spans="1:255" x14ac:dyDescent="0.2">
      <c r="A14">
        <v>10</v>
      </c>
      <c r="B14" s="18">
        <v>2.2000000000000002</v>
      </c>
      <c r="C14" s="28">
        <v>28</v>
      </c>
      <c r="D14" s="12">
        <v>56</v>
      </c>
      <c r="E14" s="12">
        <v>85</v>
      </c>
      <c r="F14" s="12">
        <v>113</v>
      </c>
      <c r="G14" s="6">
        <v>141</v>
      </c>
      <c r="H14" s="12">
        <v>169</v>
      </c>
      <c r="I14" s="1">
        <v>34</v>
      </c>
      <c r="J14" s="12">
        <v>67</v>
      </c>
      <c r="K14" s="12">
        <v>101</v>
      </c>
      <c r="L14" s="12">
        <v>134</v>
      </c>
      <c r="M14" s="12">
        <v>168</v>
      </c>
      <c r="N14" s="12">
        <v>201</v>
      </c>
      <c r="O14" s="1">
        <v>40</v>
      </c>
      <c r="P14" s="12">
        <v>81</v>
      </c>
      <c r="Q14" s="12">
        <v>121</v>
      </c>
      <c r="R14" s="12">
        <v>161</v>
      </c>
      <c r="S14" s="12">
        <v>202</v>
      </c>
      <c r="T14" s="12">
        <v>242</v>
      </c>
      <c r="U14" s="189">
        <v>50</v>
      </c>
      <c r="V14" s="188">
        <v>99</v>
      </c>
      <c r="W14" s="188">
        <v>149</v>
      </c>
      <c r="X14" s="188">
        <v>198</v>
      </c>
      <c r="Y14" s="188">
        <v>248</v>
      </c>
      <c r="Z14" s="188">
        <v>297</v>
      </c>
      <c r="AA14" s="1">
        <v>59</v>
      </c>
      <c r="AB14" s="12">
        <v>118</v>
      </c>
      <c r="AC14" s="12">
        <v>177</v>
      </c>
      <c r="AD14" s="12">
        <v>235</v>
      </c>
      <c r="AE14" s="12">
        <v>294</v>
      </c>
      <c r="AF14" s="12">
        <v>353</v>
      </c>
      <c r="AG14" s="1">
        <v>71</v>
      </c>
      <c r="AH14" s="12">
        <v>142</v>
      </c>
      <c r="AI14" s="12">
        <v>213</v>
      </c>
      <c r="AJ14" s="12">
        <v>284</v>
      </c>
      <c r="AK14" s="12">
        <v>355</v>
      </c>
      <c r="AL14" s="12">
        <v>426</v>
      </c>
      <c r="AM14" s="1">
        <v>85</v>
      </c>
      <c r="AN14" s="12">
        <v>170</v>
      </c>
      <c r="AO14" s="12">
        <v>256</v>
      </c>
      <c r="AP14" s="12">
        <v>341</v>
      </c>
      <c r="AQ14" s="12">
        <v>426</v>
      </c>
      <c r="AR14" s="7">
        <v>511</v>
      </c>
      <c r="AS14" s="1">
        <v>20</v>
      </c>
      <c r="AT14" s="12">
        <v>39</v>
      </c>
      <c r="AU14" s="12">
        <v>59</v>
      </c>
      <c r="AV14" s="12">
        <v>79</v>
      </c>
      <c r="AW14" s="12">
        <v>98</v>
      </c>
      <c r="AX14" s="12">
        <v>118</v>
      </c>
      <c r="AY14" s="1">
        <v>23</v>
      </c>
      <c r="AZ14" s="12">
        <v>47</v>
      </c>
      <c r="BA14" s="12">
        <v>70</v>
      </c>
      <c r="BB14" s="12">
        <v>93</v>
      </c>
      <c r="BC14" s="12">
        <v>117</v>
      </c>
      <c r="BD14" s="12">
        <v>140</v>
      </c>
      <c r="BE14" s="1">
        <v>28</v>
      </c>
      <c r="BF14" s="12">
        <v>56</v>
      </c>
      <c r="BG14" s="12">
        <v>85</v>
      </c>
      <c r="BH14" s="12">
        <v>113</v>
      </c>
      <c r="BI14" s="12">
        <v>141</v>
      </c>
      <c r="BJ14" s="12">
        <v>169</v>
      </c>
      <c r="BK14" s="1">
        <v>34</v>
      </c>
      <c r="BL14" s="6">
        <v>68</v>
      </c>
      <c r="BM14" s="6">
        <v>102</v>
      </c>
      <c r="BN14" s="6">
        <v>136</v>
      </c>
      <c r="BO14" s="6">
        <v>170</v>
      </c>
      <c r="BP14" s="6">
        <v>204</v>
      </c>
      <c r="BQ14" s="1">
        <v>41</v>
      </c>
      <c r="BR14" s="12">
        <v>83</v>
      </c>
      <c r="BS14" s="12">
        <v>124</v>
      </c>
      <c r="BT14" s="12">
        <v>165</v>
      </c>
      <c r="BU14" s="12">
        <v>207</v>
      </c>
      <c r="BV14" s="12">
        <v>248</v>
      </c>
      <c r="BW14" s="1">
        <v>50</v>
      </c>
      <c r="BX14" s="12">
        <v>100</v>
      </c>
      <c r="BY14" s="12">
        <v>150</v>
      </c>
      <c r="BZ14" s="12">
        <v>200</v>
      </c>
      <c r="CA14" s="12">
        <v>250</v>
      </c>
      <c r="CB14" s="12">
        <v>300</v>
      </c>
      <c r="CC14" s="1">
        <v>60</v>
      </c>
      <c r="CD14" s="12">
        <v>120</v>
      </c>
      <c r="CE14" s="12">
        <v>181</v>
      </c>
      <c r="CF14" s="12">
        <v>241</v>
      </c>
      <c r="CG14" s="12">
        <v>301</v>
      </c>
      <c r="CH14" s="7">
        <v>361</v>
      </c>
      <c r="CI14" s="1">
        <v>15</v>
      </c>
      <c r="CJ14" s="12">
        <v>30</v>
      </c>
      <c r="CK14" s="12">
        <v>45</v>
      </c>
      <c r="CL14" s="12">
        <v>59</v>
      </c>
      <c r="CM14" s="12">
        <v>74</v>
      </c>
      <c r="CN14" s="12">
        <v>89</v>
      </c>
      <c r="CO14" s="1">
        <v>18</v>
      </c>
      <c r="CP14" s="12">
        <v>35</v>
      </c>
      <c r="CQ14" s="12">
        <v>53</v>
      </c>
      <c r="CR14" s="12">
        <v>70</v>
      </c>
      <c r="CS14" s="143">
        <v>88</v>
      </c>
      <c r="CT14" s="12">
        <v>105</v>
      </c>
      <c r="CU14" s="1">
        <v>21</v>
      </c>
      <c r="CV14" s="12">
        <v>42</v>
      </c>
      <c r="CW14" s="12">
        <v>64</v>
      </c>
      <c r="CX14" s="12">
        <v>85</v>
      </c>
      <c r="CY14" s="12">
        <v>106</v>
      </c>
      <c r="CZ14" s="12">
        <v>127</v>
      </c>
      <c r="DA14" s="1">
        <v>26</v>
      </c>
      <c r="DB14" s="12">
        <v>51</v>
      </c>
      <c r="DC14" s="12">
        <v>77</v>
      </c>
      <c r="DD14" s="12">
        <v>102</v>
      </c>
      <c r="DE14" s="12">
        <v>128</v>
      </c>
      <c r="DF14" s="12">
        <v>153</v>
      </c>
      <c r="DG14" s="1">
        <v>31</v>
      </c>
      <c r="DH14" s="12">
        <v>62</v>
      </c>
      <c r="DI14" s="12">
        <v>93</v>
      </c>
      <c r="DJ14" s="12">
        <v>124</v>
      </c>
      <c r="DK14" s="12">
        <v>155</v>
      </c>
      <c r="DL14" s="12">
        <v>186</v>
      </c>
      <c r="DM14" s="1">
        <v>38</v>
      </c>
      <c r="DN14" s="12">
        <v>75</v>
      </c>
      <c r="DO14" s="12">
        <v>113</v>
      </c>
      <c r="DP14" s="12">
        <v>150</v>
      </c>
      <c r="DQ14" s="12">
        <v>188</v>
      </c>
      <c r="DR14" s="12">
        <v>225</v>
      </c>
      <c r="DS14" s="1">
        <v>45</v>
      </c>
      <c r="DT14" s="12">
        <v>90</v>
      </c>
      <c r="DU14" s="12">
        <v>136</v>
      </c>
      <c r="DV14" s="12">
        <v>181</v>
      </c>
      <c r="DW14" s="12">
        <v>226</v>
      </c>
      <c r="DX14" s="7">
        <v>271</v>
      </c>
      <c r="DY14" s="1">
        <v>10</v>
      </c>
      <c r="DZ14" s="12">
        <v>20</v>
      </c>
      <c r="EA14" s="12">
        <v>30</v>
      </c>
      <c r="EB14" s="12">
        <v>39</v>
      </c>
      <c r="EC14" s="12">
        <v>49</v>
      </c>
      <c r="ED14" s="12">
        <v>59</v>
      </c>
      <c r="EE14" s="1">
        <v>12</v>
      </c>
      <c r="EF14" s="12">
        <v>23</v>
      </c>
      <c r="EG14" s="12">
        <v>35</v>
      </c>
      <c r="EH14" s="12">
        <v>47</v>
      </c>
      <c r="EI14" s="12">
        <v>58</v>
      </c>
      <c r="EJ14" s="12">
        <v>70</v>
      </c>
      <c r="EK14" s="1">
        <v>14</v>
      </c>
      <c r="EL14" s="12">
        <v>28</v>
      </c>
      <c r="EM14" s="12">
        <v>43</v>
      </c>
      <c r="EN14" s="12">
        <v>57</v>
      </c>
      <c r="EO14" s="12">
        <v>71</v>
      </c>
      <c r="EP14" s="12">
        <v>85</v>
      </c>
      <c r="EQ14" s="1">
        <v>17</v>
      </c>
      <c r="ER14" s="12">
        <v>34</v>
      </c>
      <c r="ES14" s="12">
        <v>51</v>
      </c>
      <c r="ET14" s="12">
        <v>68</v>
      </c>
      <c r="EU14" s="12">
        <v>85</v>
      </c>
      <c r="EV14" s="12">
        <v>102</v>
      </c>
      <c r="EW14" s="1">
        <v>21</v>
      </c>
      <c r="EX14" s="12">
        <v>41</v>
      </c>
      <c r="EY14" s="12">
        <v>62</v>
      </c>
      <c r="EZ14" s="12">
        <v>83</v>
      </c>
      <c r="FA14" s="12">
        <v>103</v>
      </c>
      <c r="FB14" s="12">
        <v>124</v>
      </c>
      <c r="FC14" s="1">
        <v>25</v>
      </c>
      <c r="FD14" s="12">
        <v>50</v>
      </c>
      <c r="FE14" s="12">
        <v>75</v>
      </c>
      <c r="FF14" s="12">
        <v>100</v>
      </c>
      <c r="FG14" s="12">
        <v>125</v>
      </c>
      <c r="FH14" s="12">
        <v>150</v>
      </c>
      <c r="FI14" s="1">
        <v>30</v>
      </c>
      <c r="FJ14" s="12">
        <v>60</v>
      </c>
      <c r="FK14" s="12">
        <v>91</v>
      </c>
      <c r="FL14" s="12">
        <v>121</v>
      </c>
      <c r="FM14" s="12">
        <v>151</v>
      </c>
      <c r="FN14" s="7">
        <v>181</v>
      </c>
      <c r="FO14" s="1">
        <v>7</v>
      </c>
      <c r="FP14" s="12">
        <v>15</v>
      </c>
      <c r="FQ14" s="12">
        <v>22</v>
      </c>
      <c r="FR14" s="12">
        <v>29</v>
      </c>
      <c r="FS14" s="12">
        <v>37</v>
      </c>
      <c r="FT14" s="12">
        <v>44</v>
      </c>
      <c r="FU14" s="1">
        <v>9</v>
      </c>
      <c r="FV14" s="12">
        <v>18</v>
      </c>
      <c r="FW14" s="12">
        <v>27</v>
      </c>
      <c r="FX14" s="12">
        <v>35</v>
      </c>
      <c r="FY14" s="12">
        <v>44</v>
      </c>
      <c r="FZ14" s="12">
        <v>53</v>
      </c>
      <c r="GA14" s="1">
        <v>11</v>
      </c>
      <c r="GB14" s="12">
        <v>21</v>
      </c>
      <c r="GC14" s="12">
        <v>32</v>
      </c>
      <c r="GD14" s="12">
        <v>42</v>
      </c>
      <c r="GE14" s="12">
        <v>53</v>
      </c>
      <c r="GF14" s="12">
        <v>63</v>
      </c>
      <c r="GG14" s="1">
        <v>13</v>
      </c>
      <c r="GH14" s="6">
        <v>26</v>
      </c>
      <c r="GI14" s="12">
        <v>39</v>
      </c>
      <c r="GJ14" s="12">
        <v>51</v>
      </c>
      <c r="GK14" s="12">
        <v>64</v>
      </c>
      <c r="GL14" s="12">
        <v>77</v>
      </c>
      <c r="GM14" s="1">
        <v>16</v>
      </c>
      <c r="GN14" s="12">
        <v>31</v>
      </c>
      <c r="GO14" s="12">
        <v>47</v>
      </c>
      <c r="GP14" s="12">
        <v>62</v>
      </c>
      <c r="GQ14" s="12">
        <v>78</v>
      </c>
      <c r="GR14" s="12">
        <v>93</v>
      </c>
      <c r="GS14" s="1">
        <v>19</v>
      </c>
      <c r="GT14" s="12">
        <v>38</v>
      </c>
      <c r="GU14" s="12">
        <v>57</v>
      </c>
      <c r="GV14" s="12">
        <v>75</v>
      </c>
      <c r="GW14" s="12">
        <v>94</v>
      </c>
      <c r="GX14" s="12">
        <v>113</v>
      </c>
      <c r="GY14" s="1">
        <v>23</v>
      </c>
      <c r="GZ14" s="12">
        <v>45</v>
      </c>
      <c r="HA14" s="12">
        <v>68</v>
      </c>
      <c r="HB14" s="12">
        <v>90</v>
      </c>
      <c r="HC14" s="12">
        <v>113</v>
      </c>
      <c r="HD14" s="7">
        <v>135</v>
      </c>
      <c r="HE14" s="28">
        <v>5</v>
      </c>
      <c r="HF14" s="12">
        <v>10</v>
      </c>
      <c r="HG14" s="12">
        <v>15</v>
      </c>
      <c r="HH14" s="12">
        <v>20</v>
      </c>
      <c r="HI14" s="12">
        <v>25</v>
      </c>
      <c r="HJ14" s="12">
        <v>30</v>
      </c>
      <c r="HK14" s="1">
        <v>6</v>
      </c>
      <c r="HL14" s="12">
        <v>12</v>
      </c>
      <c r="HM14" s="12">
        <v>18</v>
      </c>
      <c r="HN14" s="12">
        <v>23</v>
      </c>
      <c r="HO14" s="12">
        <v>29</v>
      </c>
      <c r="HP14" s="12">
        <v>35</v>
      </c>
      <c r="HQ14" s="1">
        <v>7</v>
      </c>
      <c r="HR14" s="12">
        <v>14</v>
      </c>
      <c r="HS14" s="12">
        <v>21</v>
      </c>
      <c r="HT14" s="12">
        <v>28</v>
      </c>
      <c r="HU14" s="12">
        <v>36</v>
      </c>
      <c r="HV14" s="12">
        <v>42</v>
      </c>
      <c r="HW14" s="1">
        <v>9</v>
      </c>
      <c r="HX14" s="12">
        <v>17</v>
      </c>
      <c r="HY14" s="12">
        <v>26</v>
      </c>
      <c r="HZ14" s="12">
        <v>34</v>
      </c>
      <c r="IA14" s="6">
        <v>43</v>
      </c>
      <c r="IB14" s="12">
        <v>51</v>
      </c>
      <c r="IC14" s="1">
        <v>10</v>
      </c>
      <c r="ID14" s="12">
        <v>21</v>
      </c>
      <c r="IE14" s="12">
        <v>31</v>
      </c>
      <c r="IF14" s="12">
        <v>41</v>
      </c>
      <c r="IG14" s="12">
        <v>52</v>
      </c>
      <c r="IH14" s="12">
        <v>62</v>
      </c>
      <c r="II14" s="1">
        <v>13</v>
      </c>
      <c r="IJ14" s="12">
        <v>25</v>
      </c>
      <c r="IK14" s="12">
        <v>38</v>
      </c>
      <c r="IL14" s="12">
        <v>50</v>
      </c>
      <c r="IM14" s="12">
        <v>63</v>
      </c>
      <c r="IN14" s="12">
        <v>75</v>
      </c>
      <c r="IO14" s="1">
        <v>15</v>
      </c>
      <c r="IP14" s="12">
        <v>30</v>
      </c>
      <c r="IQ14" s="12">
        <v>45</v>
      </c>
      <c r="IR14" s="12">
        <v>60</v>
      </c>
      <c r="IS14" s="12">
        <v>75</v>
      </c>
      <c r="IT14" s="7">
        <v>90</v>
      </c>
      <c r="IU14" s="191">
        <v>0</v>
      </c>
    </row>
    <row r="15" spans="1:255" x14ac:dyDescent="0.2">
      <c r="A15">
        <v>11</v>
      </c>
      <c r="B15" s="18">
        <v>2.4</v>
      </c>
      <c r="C15" s="28">
        <v>29</v>
      </c>
      <c r="D15" s="12">
        <v>57</v>
      </c>
      <c r="E15" s="12">
        <v>86</v>
      </c>
      <c r="F15" s="12">
        <v>115</v>
      </c>
      <c r="G15" s="6">
        <v>143</v>
      </c>
      <c r="H15" s="12">
        <v>172</v>
      </c>
      <c r="I15" s="1">
        <v>34</v>
      </c>
      <c r="J15" s="12">
        <v>68</v>
      </c>
      <c r="K15" s="12">
        <v>103</v>
      </c>
      <c r="L15" s="12">
        <v>137</v>
      </c>
      <c r="M15" s="12">
        <v>171</v>
      </c>
      <c r="N15" s="12">
        <v>205</v>
      </c>
      <c r="O15" s="1">
        <v>41</v>
      </c>
      <c r="P15" s="12">
        <v>82</v>
      </c>
      <c r="Q15" s="12">
        <v>124</v>
      </c>
      <c r="R15" s="12">
        <v>165</v>
      </c>
      <c r="S15" s="12">
        <v>206</v>
      </c>
      <c r="T15" s="12">
        <v>247</v>
      </c>
      <c r="U15" s="1">
        <v>50</v>
      </c>
      <c r="V15" s="12">
        <v>99</v>
      </c>
      <c r="W15" s="12">
        <v>149</v>
      </c>
      <c r="X15" s="12">
        <v>199</v>
      </c>
      <c r="Y15" s="12">
        <v>248</v>
      </c>
      <c r="Z15" s="12">
        <v>298</v>
      </c>
      <c r="AA15" s="1">
        <v>60</v>
      </c>
      <c r="AB15" s="12">
        <v>120</v>
      </c>
      <c r="AC15" s="12">
        <v>181</v>
      </c>
      <c r="AD15" s="12">
        <v>241</v>
      </c>
      <c r="AE15" s="12">
        <v>301</v>
      </c>
      <c r="AF15" s="12">
        <v>361</v>
      </c>
      <c r="AG15" s="1">
        <v>73</v>
      </c>
      <c r="AH15" s="12">
        <v>145</v>
      </c>
      <c r="AI15" s="12">
        <v>218</v>
      </c>
      <c r="AJ15" s="12">
        <v>290</v>
      </c>
      <c r="AK15" s="12">
        <v>363</v>
      </c>
      <c r="AL15" s="12">
        <v>435</v>
      </c>
      <c r="AM15" s="1">
        <v>87</v>
      </c>
      <c r="AN15" s="12">
        <v>174</v>
      </c>
      <c r="AO15" s="12">
        <v>261</v>
      </c>
      <c r="AP15" s="12">
        <v>348</v>
      </c>
      <c r="AQ15" s="12">
        <v>435</v>
      </c>
      <c r="AR15" s="7">
        <v>522</v>
      </c>
      <c r="AS15" s="1">
        <v>20</v>
      </c>
      <c r="AT15" s="12">
        <v>40</v>
      </c>
      <c r="AU15" s="12">
        <v>60</v>
      </c>
      <c r="AV15" s="12">
        <v>80</v>
      </c>
      <c r="AW15" s="12">
        <v>100</v>
      </c>
      <c r="AX15" s="12">
        <v>120</v>
      </c>
      <c r="AY15" s="1">
        <v>24</v>
      </c>
      <c r="AZ15" s="12">
        <v>48</v>
      </c>
      <c r="BA15" s="12">
        <v>72</v>
      </c>
      <c r="BB15" s="12">
        <v>95</v>
      </c>
      <c r="BC15" s="12">
        <v>119</v>
      </c>
      <c r="BD15" s="12">
        <v>143</v>
      </c>
      <c r="BE15" s="1">
        <v>29</v>
      </c>
      <c r="BF15" s="12">
        <v>57</v>
      </c>
      <c r="BG15" s="12">
        <v>86</v>
      </c>
      <c r="BH15" s="12">
        <v>115</v>
      </c>
      <c r="BI15" s="12">
        <v>143</v>
      </c>
      <c r="BJ15" s="12">
        <v>172</v>
      </c>
      <c r="BK15" s="1">
        <v>35</v>
      </c>
      <c r="BL15" s="6">
        <v>70</v>
      </c>
      <c r="BM15" s="6">
        <v>105</v>
      </c>
      <c r="BN15" s="6">
        <v>139</v>
      </c>
      <c r="BO15" s="6">
        <v>174</v>
      </c>
      <c r="BP15" s="6">
        <v>209</v>
      </c>
      <c r="BQ15" s="1">
        <v>42</v>
      </c>
      <c r="BR15" s="12">
        <v>84</v>
      </c>
      <c r="BS15" s="12">
        <v>127</v>
      </c>
      <c r="BT15" s="12">
        <v>169</v>
      </c>
      <c r="BU15" s="12">
        <v>211</v>
      </c>
      <c r="BV15" s="12">
        <v>253</v>
      </c>
      <c r="BW15" s="1">
        <v>51</v>
      </c>
      <c r="BX15" s="12">
        <v>102</v>
      </c>
      <c r="BY15" s="12">
        <v>153</v>
      </c>
      <c r="BZ15" s="12">
        <v>204</v>
      </c>
      <c r="CA15" s="12">
        <v>255</v>
      </c>
      <c r="CB15" s="12">
        <v>306</v>
      </c>
      <c r="CC15" s="1">
        <v>61</v>
      </c>
      <c r="CD15" s="12">
        <v>123</v>
      </c>
      <c r="CE15" s="12">
        <v>184</v>
      </c>
      <c r="CF15" s="12">
        <v>245</v>
      </c>
      <c r="CG15" s="12">
        <v>307</v>
      </c>
      <c r="CH15" s="7">
        <v>368</v>
      </c>
      <c r="CI15" s="1">
        <v>15</v>
      </c>
      <c r="CJ15" s="12">
        <v>30</v>
      </c>
      <c r="CK15" s="12">
        <v>45</v>
      </c>
      <c r="CL15" s="12">
        <v>60</v>
      </c>
      <c r="CM15" s="12">
        <v>75</v>
      </c>
      <c r="CN15" s="12">
        <v>90</v>
      </c>
      <c r="CO15" s="1">
        <v>18</v>
      </c>
      <c r="CP15" s="12">
        <v>36</v>
      </c>
      <c r="CQ15" s="12">
        <v>54</v>
      </c>
      <c r="CR15" s="12">
        <v>71</v>
      </c>
      <c r="CS15" s="143">
        <v>89</v>
      </c>
      <c r="CT15" s="12">
        <v>107</v>
      </c>
      <c r="CU15" s="1">
        <v>22</v>
      </c>
      <c r="CV15" s="12">
        <v>43</v>
      </c>
      <c r="CW15" s="12">
        <v>65</v>
      </c>
      <c r="CX15" s="12">
        <v>86</v>
      </c>
      <c r="CY15" s="12">
        <v>108</v>
      </c>
      <c r="CZ15" s="12">
        <v>129</v>
      </c>
      <c r="DA15" s="1">
        <v>26</v>
      </c>
      <c r="DB15" s="12">
        <v>52</v>
      </c>
      <c r="DC15" s="12">
        <v>79</v>
      </c>
      <c r="DD15" s="12">
        <v>105</v>
      </c>
      <c r="DE15" s="12">
        <v>131</v>
      </c>
      <c r="DF15" s="12">
        <v>157</v>
      </c>
      <c r="DG15" s="1">
        <v>32</v>
      </c>
      <c r="DH15" s="12">
        <v>63</v>
      </c>
      <c r="DI15" s="12">
        <v>95</v>
      </c>
      <c r="DJ15" s="12">
        <v>127</v>
      </c>
      <c r="DK15" s="12">
        <v>158</v>
      </c>
      <c r="DL15" s="12">
        <v>190</v>
      </c>
      <c r="DM15" s="1">
        <v>38</v>
      </c>
      <c r="DN15" s="12">
        <v>77</v>
      </c>
      <c r="DO15" s="12">
        <v>115</v>
      </c>
      <c r="DP15" s="12">
        <v>153</v>
      </c>
      <c r="DQ15" s="12">
        <v>192</v>
      </c>
      <c r="DR15" s="12">
        <v>230</v>
      </c>
      <c r="DS15" s="1">
        <v>46</v>
      </c>
      <c r="DT15" s="12">
        <v>92</v>
      </c>
      <c r="DU15" s="12">
        <v>138</v>
      </c>
      <c r="DV15" s="12">
        <v>184</v>
      </c>
      <c r="DW15" s="12">
        <v>230</v>
      </c>
      <c r="DX15" s="7">
        <v>276</v>
      </c>
      <c r="DY15" s="1">
        <v>10</v>
      </c>
      <c r="DZ15" s="12">
        <v>20</v>
      </c>
      <c r="EA15" s="12">
        <v>30</v>
      </c>
      <c r="EB15" s="12">
        <v>40</v>
      </c>
      <c r="EC15" s="12">
        <v>50</v>
      </c>
      <c r="ED15" s="12">
        <v>60</v>
      </c>
      <c r="EE15" s="1">
        <v>12</v>
      </c>
      <c r="EF15" s="12">
        <v>24</v>
      </c>
      <c r="EG15" s="12">
        <v>36</v>
      </c>
      <c r="EH15" s="12">
        <v>48</v>
      </c>
      <c r="EI15" s="12">
        <v>60</v>
      </c>
      <c r="EJ15" s="12">
        <v>72</v>
      </c>
      <c r="EK15" s="1">
        <v>14</v>
      </c>
      <c r="EL15" s="12">
        <v>29</v>
      </c>
      <c r="EM15" s="12">
        <v>43</v>
      </c>
      <c r="EN15" s="36">
        <v>57</v>
      </c>
      <c r="EO15" s="12">
        <v>72</v>
      </c>
      <c r="EP15" s="12">
        <v>86</v>
      </c>
      <c r="EQ15" s="1">
        <v>18</v>
      </c>
      <c r="ER15" s="12">
        <v>35</v>
      </c>
      <c r="ES15" s="12">
        <v>53</v>
      </c>
      <c r="ET15" s="12">
        <v>70</v>
      </c>
      <c r="EU15" s="12">
        <v>88</v>
      </c>
      <c r="EV15" s="12">
        <v>105</v>
      </c>
      <c r="EW15" s="1">
        <v>21</v>
      </c>
      <c r="EX15" s="12">
        <v>42</v>
      </c>
      <c r="EY15" s="12">
        <v>64</v>
      </c>
      <c r="EZ15" s="12">
        <v>85</v>
      </c>
      <c r="FA15" s="12">
        <v>106</v>
      </c>
      <c r="FB15" s="12">
        <v>127</v>
      </c>
      <c r="FC15" s="1">
        <v>26</v>
      </c>
      <c r="FD15" s="12">
        <v>51</v>
      </c>
      <c r="FE15" s="12">
        <v>77</v>
      </c>
      <c r="FF15" s="12">
        <v>102</v>
      </c>
      <c r="FG15" s="12">
        <v>128</v>
      </c>
      <c r="FH15" s="12">
        <v>153</v>
      </c>
      <c r="FI15" s="1">
        <v>31</v>
      </c>
      <c r="FJ15" s="12">
        <v>61</v>
      </c>
      <c r="FK15" s="12">
        <v>92</v>
      </c>
      <c r="FL15" s="12">
        <v>123</v>
      </c>
      <c r="FM15" s="12">
        <v>153</v>
      </c>
      <c r="FN15" s="7">
        <v>184</v>
      </c>
      <c r="FO15" s="1">
        <v>8</v>
      </c>
      <c r="FP15" s="12">
        <v>15</v>
      </c>
      <c r="FQ15" s="12">
        <v>23</v>
      </c>
      <c r="FR15" s="12">
        <v>30</v>
      </c>
      <c r="FS15" s="12">
        <v>38</v>
      </c>
      <c r="FT15" s="12">
        <v>45</v>
      </c>
      <c r="FU15" s="1">
        <v>9</v>
      </c>
      <c r="FV15" s="12">
        <v>18</v>
      </c>
      <c r="FW15" s="12">
        <v>27</v>
      </c>
      <c r="FX15" s="12">
        <v>36</v>
      </c>
      <c r="FY15" s="12">
        <v>45</v>
      </c>
      <c r="FZ15" s="12">
        <v>54</v>
      </c>
      <c r="GA15" s="1">
        <v>11</v>
      </c>
      <c r="GB15" s="12">
        <v>22</v>
      </c>
      <c r="GC15" s="12">
        <v>33</v>
      </c>
      <c r="GD15" s="12">
        <v>43</v>
      </c>
      <c r="GE15" s="12">
        <v>54</v>
      </c>
      <c r="GF15" s="12">
        <v>65</v>
      </c>
      <c r="GG15" s="1">
        <v>13</v>
      </c>
      <c r="GH15" s="6">
        <v>26</v>
      </c>
      <c r="GI15" s="12">
        <v>39</v>
      </c>
      <c r="GJ15" s="12">
        <v>52</v>
      </c>
      <c r="GK15" s="12">
        <v>65</v>
      </c>
      <c r="GL15" s="12">
        <v>78</v>
      </c>
      <c r="GM15" s="1">
        <v>16</v>
      </c>
      <c r="GN15" s="12">
        <v>32</v>
      </c>
      <c r="GO15" s="12">
        <v>48</v>
      </c>
      <c r="GP15" s="12">
        <v>63</v>
      </c>
      <c r="GQ15" s="12">
        <v>79</v>
      </c>
      <c r="GR15" s="12">
        <v>95</v>
      </c>
      <c r="GS15" s="1">
        <v>19</v>
      </c>
      <c r="GT15" s="12">
        <v>38</v>
      </c>
      <c r="GU15" s="12">
        <v>58</v>
      </c>
      <c r="GV15" s="12">
        <v>77</v>
      </c>
      <c r="GW15" s="12">
        <v>96</v>
      </c>
      <c r="GX15" s="12">
        <v>115</v>
      </c>
      <c r="GY15" s="1">
        <v>23</v>
      </c>
      <c r="GZ15" s="12">
        <v>46</v>
      </c>
      <c r="HA15" s="12">
        <v>69</v>
      </c>
      <c r="HB15" s="12">
        <v>92</v>
      </c>
      <c r="HC15" s="12">
        <v>115</v>
      </c>
      <c r="HD15" s="7">
        <v>138</v>
      </c>
      <c r="HE15" s="28">
        <v>5</v>
      </c>
      <c r="HF15" s="12">
        <v>10</v>
      </c>
      <c r="HG15" s="12">
        <v>15</v>
      </c>
      <c r="HH15" s="12">
        <v>20</v>
      </c>
      <c r="HI15" s="12">
        <v>25</v>
      </c>
      <c r="HJ15" s="12">
        <v>30</v>
      </c>
      <c r="HK15" s="1">
        <v>6</v>
      </c>
      <c r="HL15" s="12">
        <v>12</v>
      </c>
      <c r="HM15" s="12">
        <v>18</v>
      </c>
      <c r="HN15" s="12">
        <v>24</v>
      </c>
      <c r="HO15" s="12">
        <v>30</v>
      </c>
      <c r="HP15" s="12">
        <v>36</v>
      </c>
      <c r="HQ15" s="1">
        <v>7</v>
      </c>
      <c r="HR15" s="12">
        <v>14</v>
      </c>
      <c r="HS15" s="12">
        <v>22</v>
      </c>
      <c r="HT15" s="12">
        <v>29</v>
      </c>
      <c r="HU15" s="12">
        <v>37</v>
      </c>
      <c r="HV15" s="12">
        <v>43</v>
      </c>
      <c r="HW15" s="1">
        <v>9</v>
      </c>
      <c r="HX15" s="12">
        <v>17</v>
      </c>
      <c r="HY15" s="12">
        <v>26</v>
      </c>
      <c r="HZ15" s="12">
        <v>35</v>
      </c>
      <c r="IA15" s="6">
        <v>43</v>
      </c>
      <c r="IB15" s="12">
        <v>52</v>
      </c>
      <c r="IC15" s="1">
        <v>11</v>
      </c>
      <c r="ID15" s="12">
        <v>21</v>
      </c>
      <c r="IE15" s="12">
        <v>32</v>
      </c>
      <c r="IF15" s="12">
        <v>42</v>
      </c>
      <c r="IG15" s="12">
        <v>53</v>
      </c>
      <c r="IH15" s="12">
        <v>63</v>
      </c>
      <c r="II15" s="1">
        <v>13</v>
      </c>
      <c r="IJ15" s="12">
        <v>26</v>
      </c>
      <c r="IK15" s="12">
        <v>39</v>
      </c>
      <c r="IL15" s="12">
        <v>51</v>
      </c>
      <c r="IM15" s="12">
        <v>64</v>
      </c>
      <c r="IN15" s="12">
        <v>77</v>
      </c>
      <c r="IO15" s="1">
        <v>15</v>
      </c>
      <c r="IP15" s="12">
        <v>31</v>
      </c>
      <c r="IQ15" s="12">
        <v>46</v>
      </c>
      <c r="IR15" s="12">
        <v>61</v>
      </c>
      <c r="IS15" s="12">
        <v>77</v>
      </c>
      <c r="IT15" s="7">
        <v>92</v>
      </c>
      <c r="IU15" s="191">
        <v>0</v>
      </c>
    </row>
    <row r="16" spans="1:255" x14ac:dyDescent="0.2">
      <c r="A16">
        <v>12</v>
      </c>
      <c r="B16" s="18">
        <v>2.6</v>
      </c>
      <c r="C16" s="28">
        <v>29</v>
      </c>
      <c r="D16" s="12">
        <v>58</v>
      </c>
      <c r="E16" s="12">
        <v>88</v>
      </c>
      <c r="F16" s="12">
        <v>117</v>
      </c>
      <c r="G16" s="6">
        <v>146</v>
      </c>
      <c r="H16" s="12">
        <v>175</v>
      </c>
      <c r="I16" s="1">
        <v>35</v>
      </c>
      <c r="J16" s="12">
        <v>70</v>
      </c>
      <c r="K16" s="12">
        <v>105</v>
      </c>
      <c r="L16" s="12">
        <v>139</v>
      </c>
      <c r="M16" s="12">
        <v>174</v>
      </c>
      <c r="N16" s="12">
        <v>209</v>
      </c>
      <c r="O16" s="1">
        <v>42</v>
      </c>
      <c r="P16" s="12">
        <v>84</v>
      </c>
      <c r="Q16" s="12">
        <v>126</v>
      </c>
      <c r="R16" s="12">
        <v>168</v>
      </c>
      <c r="S16" s="12">
        <v>210</v>
      </c>
      <c r="T16" s="12">
        <v>252</v>
      </c>
      <c r="U16" s="1">
        <v>51</v>
      </c>
      <c r="V16" s="12">
        <v>101</v>
      </c>
      <c r="W16" s="12">
        <v>152</v>
      </c>
      <c r="X16" s="12">
        <v>203</v>
      </c>
      <c r="Y16" s="12">
        <v>253</v>
      </c>
      <c r="Z16" s="12">
        <v>304</v>
      </c>
      <c r="AA16" s="1">
        <v>61</v>
      </c>
      <c r="AB16" s="12">
        <v>123</v>
      </c>
      <c r="AC16" s="12">
        <v>184</v>
      </c>
      <c r="AD16" s="12">
        <v>245</v>
      </c>
      <c r="AE16" s="12">
        <v>307</v>
      </c>
      <c r="AF16" s="12">
        <v>368</v>
      </c>
      <c r="AG16" s="1">
        <v>74</v>
      </c>
      <c r="AH16" s="12">
        <v>148</v>
      </c>
      <c r="AI16" s="12">
        <v>222</v>
      </c>
      <c r="AJ16" s="12">
        <v>296</v>
      </c>
      <c r="AK16" s="12">
        <v>370</v>
      </c>
      <c r="AL16" s="12">
        <v>444</v>
      </c>
      <c r="AM16" s="1">
        <v>89</v>
      </c>
      <c r="AN16" s="12">
        <v>178</v>
      </c>
      <c r="AO16" s="12">
        <v>267</v>
      </c>
      <c r="AP16" s="12">
        <v>355</v>
      </c>
      <c r="AQ16" s="12">
        <v>444</v>
      </c>
      <c r="AR16" s="7">
        <v>533</v>
      </c>
      <c r="AS16" s="1">
        <v>20</v>
      </c>
      <c r="AT16" s="12">
        <v>41</v>
      </c>
      <c r="AU16" s="12">
        <v>61</v>
      </c>
      <c r="AV16" s="12">
        <v>81</v>
      </c>
      <c r="AW16" s="12">
        <v>102</v>
      </c>
      <c r="AX16" s="12">
        <v>122</v>
      </c>
      <c r="AY16" s="1">
        <v>24</v>
      </c>
      <c r="AZ16" s="12">
        <v>49</v>
      </c>
      <c r="BA16" s="12">
        <v>73</v>
      </c>
      <c r="BB16" s="12">
        <v>97</v>
      </c>
      <c r="BC16" s="188">
        <v>122</v>
      </c>
      <c r="BD16" s="12">
        <v>146</v>
      </c>
      <c r="BE16" s="1">
        <v>29</v>
      </c>
      <c r="BF16" s="12">
        <v>58</v>
      </c>
      <c r="BG16" s="12">
        <v>88</v>
      </c>
      <c r="BH16" s="12">
        <v>117</v>
      </c>
      <c r="BI16" s="12">
        <v>146</v>
      </c>
      <c r="BJ16" s="12">
        <v>175</v>
      </c>
      <c r="BK16" s="1">
        <v>36</v>
      </c>
      <c r="BL16" s="6">
        <v>71</v>
      </c>
      <c r="BM16" s="6">
        <v>107</v>
      </c>
      <c r="BN16" s="6">
        <v>142</v>
      </c>
      <c r="BO16" s="6">
        <v>178</v>
      </c>
      <c r="BP16" s="6">
        <v>213</v>
      </c>
      <c r="BQ16" s="1">
        <v>43</v>
      </c>
      <c r="BR16" s="12">
        <v>86</v>
      </c>
      <c r="BS16" s="12">
        <v>129</v>
      </c>
      <c r="BT16" s="12">
        <v>172</v>
      </c>
      <c r="BU16" s="12">
        <v>215</v>
      </c>
      <c r="BV16" s="12">
        <v>258</v>
      </c>
      <c r="BW16" s="1">
        <v>52</v>
      </c>
      <c r="BX16" s="12">
        <v>104</v>
      </c>
      <c r="BY16" s="12">
        <v>156</v>
      </c>
      <c r="BZ16" s="12">
        <v>208</v>
      </c>
      <c r="CA16" s="12">
        <v>260</v>
      </c>
      <c r="CB16" s="12">
        <v>312</v>
      </c>
      <c r="CC16" s="1">
        <v>63</v>
      </c>
      <c r="CD16" s="12">
        <v>125</v>
      </c>
      <c r="CE16" s="12">
        <v>188</v>
      </c>
      <c r="CF16" s="12">
        <v>250</v>
      </c>
      <c r="CG16" s="12">
        <v>313</v>
      </c>
      <c r="CH16" s="7">
        <v>375</v>
      </c>
      <c r="CI16" s="1">
        <v>15</v>
      </c>
      <c r="CJ16" s="12">
        <v>31</v>
      </c>
      <c r="CK16" s="12">
        <v>46</v>
      </c>
      <c r="CL16" s="12">
        <v>61</v>
      </c>
      <c r="CM16" s="12">
        <v>77</v>
      </c>
      <c r="CN16" s="12">
        <v>92</v>
      </c>
      <c r="CO16" s="1">
        <v>18</v>
      </c>
      <c r="CP16" s="12">
        <v>37</v>
      </c>
      <c r="CQ16" s="12">
        <v>55</v>
      </c>
      <c r="CR16" s="12">
        <v>73</v>
      </c>
      <c r="CS16" s="143">
        <v>92</v>
      </c>
      <c r="CT16" s="12">
        <v>110</v>
      </c>
      <c r="CU16" s="1">
        <v>22</v>
      </c>
      <c r="CV16" s="12">
        <v>44</v>
      </c>
      <c r="CW16" s="12">
        <v>66</v>
      </c>
      <c r="CX16" s="12">
        <v>87</v>
      </c>
      <c r="CY16" s="12">
        <v>109</v>
      </c>
      <c r="CZ16" s="12">
        <v>131</v>
      </c>
      <c r="DA16" s="1">
        <v>27</v>
      </c>
      <c r="DB16" s="12">
        <v>53</v>
      </c>
      <c r="DC16" s="12">
        <v>80</v>
      </c>
      <c r="DD16" s="12">
        <v>107</v>
      </c>
      <c r="DE16" s="12">
        <v>133</v>
      </c>
      <c r="DF16" s="12">
        <v>160</v>
      </c>
      <c r="DG16" s="1">
        <v>32</v>
      </c>
      <c r="DH16" s="12">
        <v>65</v>
      </c>
      <c r="DI16" s="12">
        <v>97</v>
      </c>
      <c r="DJ16" s="12">
        <v>129</v>
      </c>
      <c r="DK16" s="12">
        <v>162</v>
      </c>
      <c r="DL16" s="12">
        <v>194</v>
      </c>
      <c r="DM16" s="1">
        <v>39</v>
      </c>
      <c r="DN16" s="12">
        <v>78</v>
      </c>
      <c r="DO16" s="12">
        <v>117</v>
      </c>
      <c r="DP16" s="12">
        <v>156</v>
      </c>
      <c r="DQ16" s="12">
        <v>195</v>
      </c>
      <c r="DR16" s="12">
        <v>234</v>
      </c>
      <c r="DS16" s="1">
        <v>47</v>
      </c>
      <c r="DT16" s="12">
        <v>94</v>
      </c>
      <c r="DU16" s="12">
        <v>141</v>
      </c>
      <c r="DV16" s="12">
        <v>187</v>
      </c>
      <c r="DW16" s="12">
        <v>234</v>
      </c>
      <c r="DX16" s="7">
        <v>281</v>
      </c>
      <c r="DY16" s="1">
        <v>10</v>
      </c>
      <c r="DZ16" s="12">
        <v>20</v>
      </c>
      <c r="EA16" s="12">
        <v>31</v>
      </c>
      <c r="EB16" s="12">
        <v>41</v>
      </c>
      <c r="EC16" s="12">
        <v>51</v>
      </c>
      <c r="ED16" s="12">
        <v>61</v>
      </c>
      <c r="EE16" s="1">
        <v>12</v>
      </c>
      <c r="EF16" s="12">
        <v>24</v>
      </c>
      <c r="EG16" s="12">
        <v>37</v>
      </c>
      <c r="EH16" s="12">
        <v>49</v>
      </c>
      <c r="EI16" s="12">
        <v>61</v>
      </c>
      <c r="EJ16" s="12">
        <v>73</v>
      </c>
      <c r="EK16" s="1">
        <v>15</v>
      </c>
      <c r="EL16" s="12">
        <v>29</v>
      </c>
      <c r="EM16" s="12">
        <v>44</v>
      </c>
      <c r="EN16" s="12">
        <v>59</v>
      </c>
      <c r="EO16" s="12">
        <v>73</v>
      </c>
      <c r="EP16" s="12">
        <v>88</v>
      </c>
      <c r="EQ16" s="1">
        <v>18</v>
      </c>
      <c r="ER16" s="12">
        <v>36</v>
      </c>
      <c r="ES16" s="12">
        <v>54</v>
      </c>
      <c r="ET16" s="12">
        <v>71</v>
      </c>
      <c r="EU16" s="12">
        <v>89</v>
      </c>
      <c r="EV16" s="12">
        <v>107</v>
      </c>
      <c r="EW16" s="1">
        <v>22</v>
      </c>
      <c r="EX16" s="12">
        <v>43</v>
      </c>
      <c r="EY16" s="12">
        <v>65</v>
      </c>
      <c r="EZ16" s="12">
        <v>86</v>
      </c>
      <c r="FA16" s="12">
        <v>108</v>
      </c>
      <c r="FB16" s="12">
        <v>129</v>
      </c>
      <c r="FC16" s="1">
        <v>26</v>
      </c>
      <c r="FD16" s="12">
        <v>52</v>
      </c>
      <c r="FE16" s="12">
        <v>78</v>
      </c>
      <c r="FF16" s="12">
        <v>104</v>
      </c>
      <c r="FG16" s="12">
        <v>130</v>
      </c>
      <c r="FH16" s="12">
        <v>156</v>
      </c>
      <c r="FI16" s="1">
        <v>31</v>
      </c>
      <c r="FJ16" s="12">
        <v>63</v>
      </c>
      <c r="FK16" s="12">
        <v>94</v>
      </c>
      <c r="FL16" s="12">
        <v>125</v>
      </c>
      <c r="FM16" s="12">
        <v>157</v>
      </c>
      <c r="FN16" s="7">
        <v>188</v>
      </c>
      <c r="FO16" s="1">
        <v>8</v>
      </c>
      <c r="FP16" s="12">
        <v>15</v>
      </c>
      <c r="FQ16" s="12">
        <v>23</v>
      </c>
      <c r="FR16" s="12">
        <v>31</v>
      </c>
      <c r="FS16" s="12">
        <v>38</v>
      </c>
      <c r="FT16" s="12">
        <v>46</v>
      </c>
      <c r="FU16" s="1">
        <v>9</v>
      </c>
      <c r="FV16" s="12">
        <v>18</v>
      </c>
      <c r="FW16" s="12">
        <v>28</v>
      </c>
      <c r="FX16" s="12">
        <v>37</v>
      </c>
      <c r="FY16" s="12">
        <v>46</v>
      </c>
      <c r="FZ16" s="12">
        <v>55</v>
      </c>
      <c r="GA16" s="1">
        <v>11</v>
      </c>
      <c r="GB16" s="12">
        <v>22</v>
      </c>
      <c r="GC16" s="12">
        <v>33</v>
      </c>
      <c r="GD16" s="12">
        <v>44</v>
      </c>
      <c r="GE16" s="12">
        <v>55</v>
      </c>
      <c r="GF16" s="12">
        <v>66</v>
      </c>
      <c r="GG16" s="1">
        <v>13</v>
      </c>
      <c r="GH16" s="6">
        <v>27</v>
      </c>
      <c r="GI16" s="12">
        <v>40</v>
      </c>
      <c r="GJ16" s="12">
        <v>53</v>
      </c>
      <c r="GK16" s="12">
        <v>67</v>
      </c>
      <c r="GL16" s="12">
        <v>80</v>
      </c>
      <c r="GM16" s="1">
        <v>16</v>
      </c>
      <c r="GN16" s="12">
        <v>32</v>
      </c>
      <c r="GO16" s="12">
        <v>49</v>
      </c>
      <c r="GP16" s="12">
        <v>65</v>
      </c>
      <c r="GQ16" s="12">
        <v>81</v>
      </c>
      <c r="GR16" s="12">
        <v>97</v>
      </c>
      <c r="GS16" s="1">
        <v>20</v>
      </c>
      <c r="GT16" s="12">
        <v>39</v>
      </c>
      <c r="GU16" s="12">
        <v>59</v>
      </c>
      <c r="GV16" s="12">
        <v>78</v>
      </c>
      <c r="GW16" s="12">
        <v>98</v>
      </c>
      <c r="GX16" s="12">
        <v>117</v>
      </c>
      <c r="GY16" s="1">
        <v>24</v>
      </c>
      <c r="GZ16" s="12">
        <v>47</v>
      </c>
      <c r="HA16" s="12">
        <v>71</v>
      </c>
      <c r="HB16" s="12">
        <v>94</v>
      </c>
      <c r="HC16" s="12">
        <v>118</v>
      </c>
      <c r="HD16" s="7">
        <v>141</v>
      </c>
      <c r="HE16" s="28">
        <v>5</v>
      </c>
      <c r="HF16" s="12">
        <v>10</v>
      </c>
      <c r="HG16" s="12">
        <v>16</v>
      </c>
      <c r="HH16" s="12">
        <v>21</v>
      </c>
      <c r="HI16" s="12">
        <v>26</v>
      </c>
      <c r="HJ16" s="12">
        <v>31</v>
      </c>
      <c r="HK16" s="1">
        <v>6</v>
      </c>
      <c r="HL16" s="12">
        <v>12</v>
      </c>
      <c r="HM16" s="12">
        <v>19</v>
      </c>
      <c r="HN16" s="12">
        <v>25</v>
      </c>
      <c r="HO16" s="12">
        <v>31</v>
      </c>
      <c r="HP16" s="12">
        <v>37</v>
      </c>
      <c r="HQ16" s="1">
        <v>7</v>
      </c>
      <c r="HR16" s="12">
        <v>15</v>
      </c>
      <c r="HS16" s="12">
        <v>22</v>
      </c>
      <c r="HT16" s="12">
        <v>29</v>
      </c>
      <c r="HU16" s="12">
        <v>37</v>
      </c>
      <c r="HV16" s="12">
        <v>44</v>
      </c>
      <c r="HW16" s="1">
        <v>9</v>
      </c>
      <c r="HX16" s="12">
        <v>18</v>
      </c>
      <c r="HY16" s="12">
        <v>27</v>
      </c>
      <c r="HZ16" s="12">
        <v>35</v>
      </c>
      <c r="IA16" s="6">
        <v>44</v>
      </c>
      <c r="IB16" s="12">
        <v>53</v>
      </c>
      <c r="IC16" s="1">
        <v>11</v>
      </c>
      <c r="ID16" s="12">
        <v>22</v>
      </c>
      <c r="IE16" s="12">
        <v>33</v>
      </c>
      <c r="IF16" s="12">
        <v>43</v>
      </c>
      <c r="IG16" s="12">
        <v>54</v>
      </c>
      <c r="IH16" s="12">
        <v>65</v>
      </c>
      <c r="II16" s="1">
        <v>13</v>
      </c>
      <c r="IJ16" s="12">
        <v>26</v>
      </c>
      <c r="IK16" s="12">
        <v>39</v>
      </c>
      <c r="IL16" s="12">
        <v>52</v>
      </c>
      <c r="IM16" s="12">
        <v>65</v>
      </c>
      <c r="IN16" s="12">
        <v>78</v>
      </c>
      <c r="IO16" s="1">
        <v>16</v>
      </c>
      <c r="IP16" s="12">
        <v>31</v>
      </c>
      <c r="IQ16" s="12">
        <v>47</v>
      </c>
      <c r="IR16" s="12">
        <v>63</v>
      </c>
      <c r="IS16" s="12">
        <v>78</v>
      </c>
      <c r="IT16" s="7">
        <v>94</v>
      </c>
      <c r="IU16" s="191">
        <v>0</v>
      </c>
    </row>
    <row r="17" spans="1:255" x14ac:dyDescent="0.2">
      <c r="A17">
        <v>13</v>
      </c>
      <c r="B17" s="18">
        <v>2.8</v>
      </c>
      <c r="C17" s="28">
        <v>30</v>
      </c>
      <c r="D17" s="12">
        <v>59</v>
      </c>
      <c r="E17" s="12">
        <v>89</v>
      </c>
      <c r="F17" s="12">
        <v>119</v>
      </c>
      <c r="G17" s="6">
        <v>148</v>
      </c>
      <c r="H17" s="12">
        <v>178</v>
      </c>
      <c r="I17" s="1">
        <v>36</v>
      </c>
      <c r="J17" s="12">
        <v>71</v>
      </c>
      <c r="K17" s="12">
        <v>107</v>
      </c>
      <c r="L17" s="12">
        <v>142</v>
      </c>
      <c r="M17" s="12">
        <v>178</v>
      </c>
      <c r="N17" s="12">
        <v>213</v>
      </c>
      <c r="O17" s="1">
        <v>43</v>
      </c>
      <c r="P17" s="12">
        <v>86</v>
      </c>
      <c r="Q17" s="12">
        <v>129</v>
      </c>
      <c r="R17" s="12">
        <v>171</v>
      </c>
      <c r="S17" s="12">
        <v>214</v>
      </c>
      <c r="T17" s="12">
        <v>257</v>
      </c>
      <c r="U17" s="1">
        <v>52</v>
      </c>
      <c r="V17" s="12">
        <v>103</v>
      </c>
      <c r="W17" s="12">
        <v>155</v>
      </c>
      <c r="X17" s="12">
        <v>207</v>
      </c>
      <c r="Y17" s="12">
        <v>258</v>
      </c>
      <c r="Z17" s="12">
        <v>310</v>
      </c>
      <c r="AA17" s="1">
        <v>63</v>
      </c>
      <c r="AB17" s="12">
        <v>125</v>
      </c>
      <c r="AC17" s="12">
        <v>188</v>
      </c>
      <c r="AD17" s="12">
        <v>250</v>
      </c>
      <c r="AE17" s="12">
        <v>313</v>
      </c>
      <c r="AF17" s="12">
        <v>375</v>
      </c>
      <c r="AG17" s="1">
        <v>75</v>
      </c>
      <c r="AH17" s="12">
        <v>151</v>
      </c>
      <c r="AI17" s="12">
        <v>226</v>
      </c>
      <c r="AJ17" s="12">
        <v>301</v>
      </c>
      <c r="AK17" s="12">
        <v>377</v>
      </c>
      <c r="AL17" s="12">
        <v>452</v>
      </c>
      <c r="AM17" s="1">
        <v>91</v>
      </c>
      <c r="AN17" s="12">
        <v>181</v>
      </c>
      <c r="AO17" s="12">
        <v>272</v>
      </c>
      <c r="AP17" s="12">
        <v>362</v>
      </c>
      <c r="AQ17" s="12">
        <v>453</v>
      </c>
      <c r="AR17" s="7">
        <v>543</v>
      </c>
      <c r="AS17" s="1">
        <v>21</v>
      </c>
      <c r="AT17" s="12">
        <v>41</v>
      </c>
      <c r="AU17" s="12">
        <v>62</v>
      </c>
      <c r="AV17" s="12">
        <v>83</v>
      </c>
      <c r="AW17" s="12">
        <v>103</v>
      </c>
      <c r="AX17" s="12">
        <v>124</v>
      </c>
      <c r="AY17" s="1">
        <v>25</v>
      </c>
      <c r="AZ17" s="12">
        <v>49</v>
      </c>
      <c r="BA17" s="12">
        <v>74</v>
      </c>
      <c r="BB17" s="12">
        <v>99</v>
      </c>
      <c r="BC17" s="36">
        <v>123</v>
      </c>
      <c r="BD17" s="12">
        <v>148</v>
      </c>
      <c r="BE17" s="1">
        <v>30</v>
      </c>
      <c r="BF17" s="12">
        <v>59</v>
      </c>
      <c r="BG17" s="12">
        <v>89</v>
      </c>
      <c r="BH17" s="12">
        <v>119</v>
      </c>
      <c r="BI17" s="12">
        <v>148</v>
      </c>
      <c r="BJ17" s="12">
        <v>178</v>
      </c>
      <c r="BK17" s="1">
        <v>36</v>
      </c>
      <c r="BL17" s="6">
        <v>72</v>
      </c>
      <c r="BM17" s="6">
        <v>109</v>
      </c>
      <c r="BN17" s="6">
        <v>145</v>
      </c>
      <c r="BO17" s="6">
        <v>181</v>
      </c>
      <c r="BP17" s="6">
        <v>217</v>
      </c>
      <c r="BQ17" s="1">
        <v>44</v>
      </c>
      <c r="BR17" s="12">
        <v>88</v>
      </c>
      <c r="BS17" s="12">
        <v>132</v>
      </c>
      <c r="BT17" s="12">
        <v>175</v>
      </c>
      <c r="BU17" s="12">
        <v>219</v>
      </c>
      <c r="BV17" s="12">
        <v>263</v>
      </c>
      <c r="BW17" s="1">
        <v>53</v>
      </c>
      <c r="BX17" s="12">
        <v>106</v>
      </c>
      <c r="BY17" s="12">
        <v>159</v>
      </c>
      <c r="BZ17" s="12">
        <v>212</v>
      </c>
      <c r="CA17" s="12">
        <v>265</v>
      </c>
      <c r="CB17" s="12">
        <v>318</v>
      </c>
      <c r="CC17" s="1">
        <v>64</v>
      </c>
      <c r="CD17" s="12">
        <v>127</v>
      </c>
      <c r="CE17" s="12">
        <v>191</v>
      </c>
      <c r="CF17" s="12">
        <v>255</v>
      </c>
      <c r="CG17" s="12">
        <v>318</v>
      </c>
      <c r="CH17" s="7">
        <v>382</v>
      </c>
      <c r="CI17" s="1">
        <v>16</v>
      </c>
      <c r="CJ17" s="12">
        <v>31</v>
      </c>
      <c r="CK17" s="12">
        <v>47</v>
      </c>
      <c r="CL17" s="12">
        <v>62</v>
      </c>
      <c r="CM17" s="12">
        <v>78</v>
      </c>
      <c r="CN17" s="12">
        <v>93</v>
      </c>
      <c r="CO17" s="1">
        <v>19</v>
      </c>
      <c r="CP17" s="12">
        <v>37</v>
      </c>
      <c r="CQ17" s="12">
        <v>56</v>
      </c>
      <c r="CR17" s="12">
        <v>74</v>
      </c>
      <c r="CS17" s="12">
        <v>93</v>
      </c>
      <c r="CT17" s="12">
        <v>111</v>
      </c>
      <c r="CU17" s="1">
        <v>22</v>
      </c>
      <c r="CV17" s="12">
        <v>45</v>
      </c>
      <c r="CW17" s="12">
        <v>67</v>
      </c>
      <c r="CX17" s="12">
        <v>89</v>
      </c>
      <c r="CY17" s="12">
        <v>112</v>
      </c>
      <c r="CZ17" s="12">
        <v>134</v>
      </c>
      <c r="DA17" s="1">
        <v>27</v>
      </c>
      <c r="DB17" s="12">
        <v>54</v>
      </c>
      <c r="DC17" s="12">
        <v>82</v>
      </c>
      <c r="DD17" s="12">
        <v>109</v>
      </c>
      <c r="DE17" s="12">
        <v>136</v>
      </c>
      <c r="DF17" s="12">
        <v>163</v>
      </c>
      <c r="DG17" s="1">
        <v>33</v>
      </c>
      <c r="DH17" s="12">
        <v>66</v>
      </c>
      <c r="DI17" s="12">
        <v>99</v>
      </c>
      <c r="DJ17" s="12">
        <v>131</v>
      </c>
      <c r="DK17" s="12">
        <v>164</v>
      </c>
      <c r="DL17" s="12">
        <v>197</v>
      </c>
      <c r="DM17" s="1">
        <v>40</v>
      </c>
      <c r="DN17" s="12">
        <v>80</v>
      </c>
      <c r="DO17" s="12">
        <v>120</v>
      </c>
      <c r="DP17" s="12">
        <v>159</v>
      </c>
      <c r="DQ17" s="12">
        <v>199</v>
      </c>
      <c r="DR17" s="12">
        <v>239</v>
      </c>
      <c r="DS17" s="1">
        <v>48</v>
      </c>
      <c r="DT17" s="12">
        <v>96</v>
      </c>
      <c r="DU17" s="12">
        <v>144</v>
      </c>
      <c r="DV17" s="12">
        <v>191</v>
      </c>
      <c r="DW17" s="12">
        <v>239</v>
      </c>
      <c r="DX17" s="7">
        <v>287</v>
      </c>
      <c r="DY17" s="1">
        <v>10</v>
      </c>
      <c r="DZ17" s="12">
        <v>21</v>
      </c>
      <c r="EA17" s="12">
        <v>31</v>
      </c>
      <c r="EB17" s="12">
        <v>41</v>
      </c>
      <c r="EC17" s="12">
        <v>52</v>
      </c>
      <c r="ED17" s="12">
        <v>62</v>
      </c>
      <c r="EE17" s="1">
        <v>12</v>
      </c>
      <c r="EF17" s="12">
        <v>25</v>
      </c>
      <c r="EG17" s="12">
        <v>37</v>
      </c>
      <c r="EH17" s="12">
        <v>49</v>
      </c>
      <c r="EI17" s="12">
        <v>62</v>
      </c>
      <c r="EJ17" s="12">
        <v>74</v>
      </c>
      <c r="EK17" s="1">
        <v>15</v>
      </c>
      <c r="EL17" s="12">
        <v>30</v>
      </c>
      <c r="EM17" s="12">
        <v>45</v>
      </c>
      <c r="EN17" s="36">
        <v>59</v>
      </c>
      <c r="EO17" s="12">
        <v>74</v>
      </c>
      <c r="EP17" s="12">
        <v>89</v>
      </c>
      <c r="EQ17" s="1">
        <v>18</v>
      </c>
      <c r="ER17" s="12">
        <v>36</v>
      </c>
      <c r="ES17" s="12">
        <v>55</v>
      </c>
      <c r="ET17" s="12">
        <v>73</v>
      </c>
      <c r="EU17" s="12">
        <v>91</v>
      </c>
      <c r="EV17" s="12">
        <v>109</v>
      </c>
      <c r="EW17" s="1">
        <v>22</v>
      </c>
      <c r="EX17" s="12">
        <v>44</v>
      </c>
      <c r="EY17" s="12">
        <v>66</v>
      </c>
      <c r="EZ17" s="12">
        <v>88</v>
      </c>
      <c r="FA17" s="12">
        <v>110</v>
      </c>
      <c r="FB17" s="12">
        <v>132</v>
      </c>
      <c r="FC17" s="1">
        <v>27</v>
      </c>
      <c r="FD17" s="12">
        <v>53</v>
      </c>
      <c r="FE17" s="12">
        <v>80</v>
      </c>
      <c r="FF17" s="12">
        <v>106</v>
      </c>
      <c r="FG17" s="12">
        <v>133</v>
      </c>
      <c r="FH17" s="12">
        <v>159</v>
      </c>
      <c r="FI17" s="1">
        <v>32</v>
      </c>
      <c r="FJ17" s="12">
        <v>64</v>
      </c>
      <c r="FK17" s="12">
        <v>96</v>
      </c>
      <c r="FL17" s="12">
        <v>127</v>
      </c>
      <c r="FM17" s="12">
        <v>159</v>
      </c>
      <c r="FN17" s="7">
        <v>191</v>
      </c>
      <c r="FO17" s="1">
        <v>8</v>
      </c>
      <c r="FP17" s="12">
        <v>16</v>
      </c>
      <c r="FQ17" s="12">
        <v>24</v>
      </c>
      <c r="FR17" s="12">
        <v>31</v>
      </c>
      <c r="FS17" s="12">
        <v>39</v>
      </c>
      <c r="FT17" s="12">
        <v>47</v>
      </c>
      <c r="FU17" s="1">
        <v>9</v>
      </c>
      <c r="FV17" s="12">
        <v>19</v>
      </c>
      <c r="FW17" s="12">
        <v>28</v>
      </c>
      <c r="FX17" s="12">
        <v>37</v>
      </c>
      <c r="FY17" s="12">
        <v>47</v>
      </c>
      <c r="FZ17" s="12">
        <v>56</v>
      </c>
      <c r="GA17" s="1">
        <v>11</v>
      </c>
      <c r="GB17" s="12">
        <v>22</v>
      </c>
      <c r="GC17" s="12">
        <v>34</v>
      </c>
      <c r="GD17" s="12">
        <v>45</v>
      </c>
      <c r="GE17" s="12">
        <v>56</v>
      </c>
      <c r="GF17" s="12">
        <v>67</v>
      </c>
      <c r="GG17" s="1">
        <v>14</v>
      </c>
      <c r="GH17" s="6">
        <v>27</v>
      </c>
      <c r="GI17" s="12">
        <v>41</v>
      </c>
      <c r="GJ17" s="12">
        <v>54</v>
      </c>
      <c r="GK17" s="12">
        <v>68</v>
      </c>
      <c r="GL17" s="12">
        <v>81</v>
      </c>
      <c r="GM17" s="1">
        <v>17</v>
      </c>
      <c r="GN17" s="12">
        <v>33</v>
      </c>
      <c r="GO17" s="12">
        <v>50</v>
      </c>
      <c r="GP17" s="12">
        <v>66</v>
      </c>
      <c r="GQ17" s="12">
        <v>83</v>
      </c>
      <c r="GR17" s="12">
        <v>99</v>
      </c>
      <c r="GS17" s="1">
        <v>20</v>
      </c>
      <c r="GT17" s="12">
        <v>40</v>
      </c>
      <c r="GU17" s="12">
        <v>60</v>
      </c>
      <c r="GV17" s="12">
        <v>79</v>
      </c>
      <c r="GW17" s="36">
        <v>99</v>
      </c>
      <c r="GX17" s="12">
        <v>119</v>
      </c>
      <c r="GY17" s="1">
        <v>24</v>
      </c>
      <c r="GZ17" s="12">
        <v>48</v>
      </c>
      <c r="HA17" s="12">
        <v>72</v>
      </c>
      <c r="HB17" s="12">
        <v>95</v>
      </c>
      <c r="HC17" s="36">
        <v>119</v>
      </c>
      <c r="HD17" s="7">
        <v>143</v>
      </c>
      <c r="HE17" s="28">
        <v>5</v>
      </c>
      <c r="HF17" s="12">
        <v>10</v>
      </c>
      <c r="HG17" s="12">
        <v>16</v>
      </c>
      <c r="HH17" s="12">
        <v>21</v>
      </c>
      <c r="HI17" s="12">
        <v>26</v>
      </c>
      <c r="HJ17" s="12">
        <v>31</v>
      </c>
      <c r="HK17" s="1">
        <v>6</v>
      </c>
      <c r="HL17" s="12">
        <v>12</v>
      </c>
      <c r="HM17" s="12">
        <v>19</v>
      </c>
      <c r="HN17" s="12">
        <v>25</v>
      </c>
      <c r="HO17" s="12">
        <v>31</v>
      </c>
      <c r="HP17" s="12">
        <v>37</v>
      </c>
      <c r="HQ17" s="1">
        <v>8</v>
      </c>
      <c r="HR17" s="12">
        <v>15</v>
      </c>
      <c r="HS17" s="12">
        <v>23</v>
      </c>
      <c r="HT17" s="12">
        <v>30</v>
      </c>
      <c r="HU17" s="12">
        <v>38</v>
      </c>
      <c r="HV17" s="12">
        <v>45</v>
      </c>
      <c r="HW17" s="1">
        <v>9</v>
      </c>
      <c r="HX17" s="12">
        <v>18</v>
      </c>
      <c r="HY17" s="12">
        <v>27</v>
      </c>
      <c r="HZ17" s="12">
        <v>36</v>
      </c>
      <c r="IA17" s="6">
        <v>45</v>
      </c>
      <c r="IB17" s="12">
        <v>54</v>
      </c>
      <c r="IC17" s="1">
        <v>11</v>
      </c>
      <c r="ID17" s="12">
        <v>22</v>
      </c>
      <c r="IE17" s="12">
        <v>33</v>
      </c>
      <c r="IF17" s="12">
        <v>44</v>
      </c>
      <c r="IG17" s="12">
        <v>55</v>
      </c>
      <c r="IH17" s="12">
        <v>66</v>
      </c>
      <c r="II17" s="1">
        <v>13</v>
      </c>
      <c r="IJ17" s="12">
        <v>27</v>
      </c>
      <c r="IK17" s="12">
        <v>40</v>
      </c>
      <c r="IL17" s="12">
        <v>53</v>
      </c>
      <c r="IM17" s="12">
        <v>67</v>
      </c>
      <c r="IN17" s="12">
        <v>80</v>
      </c>
      <c r="IO17" s="1">
        <v>16</v>
      </c>
      <c r="IP17" s="12">
        <v>32</v>
      </c>
      <c r="IQ17" s="12">
        <v>48</v>
      </c>
      <c r="IR17" s="12">
        <v>64</v>
      </c>
      <c r="IS17" s="12">
        <v>80</v>
      </c>
      <c r="IT17" s="7">
        <v>96</v>
      </c>
      <c r="IU17" s="191">
        <v>0</v>
      </c>
    </row>
    <row r="18" spans="1:255" ht="13.5" thickBot="1" x14ac:dyDescent="0.25">
      <c r="A18">
        <v>14</v>
      </c>
      <c r="B18" s="19">
        <v>3</v>
      </c>
      <c r="C18" s="29">
        <v>30</v>
      </c>
      <c r="D18" s="9">
        <v>60</v>
      </c>
      <c r="E18" s="9">
        <v>91</v>
      </c>
      <c r="F18" s="9">
        <v>121</v>
      </c>
      <c r="G18" s="9">
        <v>151</v>
      </c>
      <c r="H18" s="9">
        <v>181</v>
      </c>
      <c r="I18" s="8">
        <v>36</v>
      </c>
      <c r="J18" s="9">
        <v>72</v>
      </c>
      <c r="K18" s="9">
        <v>109</v>
      </c>
      <c r="L18" s="9">
        <v>145</v>
      </c>
      <c r="M18" s="9">
        <v>181</v>
      </c>
      <c r="N18" s="9">
        <v>217</v>
      </c>
      <c r="O18" s="8">
        <v>44</v>
      </c>
      <c r="P18" s="9">
        <v>87</v>
      </c>
      <c r="Q18" s="9">
        <v>131</v>
      </c>
      <c r="R18" s="9">
        <v>174</v>
      </c>
      <c r="S18" s="9">
        <v>218</v>
      </c>
      <c r="T18" s="9">
        <v>261</v>
      </c>
      <c r="U18" s="8">
        <v>53</v>
      </c>
      <c r="V18" s="9">
        <v>105</v>
      </c>
      <c r="W18" s="9">
        <v>158</v>
      </c>
      <c r="X18" s="9">
        <v>211</v>
      </c>
      <c r="Y18" s="9">
        <v>263</v>
      </c>
      <c r="Z18" s="9">
        <v>316</v>
      </c>
      <c r="AA18" s="8">
        <v>64</v>
      </c>
      <c r="AB18" s="9">
        <v>127</v>
      </c>
      <c r="AC18" s="9">
        <v>191</v>
      </c>
      <c r="AD18" s="9">
        <v>255</v>
      </c>
      <c r="AE18" s="9">
        <v>318</v>
      </c>
      <c r="AF18" s="9">
        <v>382</v>
      </c>
      <c r="AG18" s="8">
        <v>77</v>
      </c>
      <c r="AH18" s="9">
        <v>153</v>
      </c>
      <c r="AI18" s="9">
        <v>230</v>
      </c>
      <c r="AJ18" s="9">
        <v>307</v>
      </c>
      <c r="AK18" s="9">
        <v>383</v>
      </c>
      <c r="AL18" s="9">
        <v>460</v>
      </c>
      <c r="AM18" s="8">
        <v>92</v>
      </c>
      <c r="AN18" s="9">
        <v>184</v>
      </c>
      <c r="AO18" s="9">
        <v>276</v>
      </c>
      <c r="AP18" s="9">
        <v>368</v>
      </c>
      <c r="AQ18" s="9">
        <v>460</v>
      </c>
      <c r="AR18" s="10">
        <v>552</v>
      </c>
      <c r="AS18" s="8">
        <v>21</v>
      </c>
      <c r="AT18" s="9">
        <v>42</v>
      </c>
      <c r="AU18" s="9">
        <v>63</v>
      </c>
      <c r="AV18" s="9">
        <v>84</v>
      </c>
      <c r="AW18" s="9">
        <v>105</v>
      </c>
      <c r="AX18" s="9">
        <v>126</v>
      </c>
      <c r="AY18" s="8">
        <v>25</v>
      </c>
      <c r="AZ18" s="9">
        <v>50</v>
      </c>
      <c r="BA18" s="9">
        <v>76</v>
      </c>
      <c r="BB18" s="9">
        <v>101</v>
      </c>
      <c r="BC18" s="9">
        <v>126</v>
      </c>
      <c r="BD18" s="9">
        <v>151</v>
      </c>
      <c r="BE18" s="8">
        <v>30</v>
      </c>
      <c r="BF18" s="122">
        <v>61</v>
      </c>
      <c r="BG18" s="9">
        <v>91</v>
      </c>
      <c r="BH18" s="9">
        <v>121</v>
      </c>
      <c r="BI18" s="9">
        <v>152</v>
      </c>
      <c r="BJ18" s="9">
        <v>182</v>
      </c>
      <c r="BK18" s="8">
        <v>37</v>
      </c>
      <c r="BL18" s="9">
        <v>74</v>
      </c>
      <c r="BM18" s="9">
        <v>111</v>
      </c>
      <c r="BN18" s="9">
        <v>147</v>
      </c>
      <c r="BO18" s="9">
        <v>184</v>
      </c>
      <c r="BP18" s="9">
        <v>221</v>
      </c>
      <c r="BQ18" s="8">
        <v>45</v>
      </c>
      <c r="BR18" s="9">
        <v>89</v>
      </c>
      <c r="BS18" s="9">
        <v>134</v>
      </c>
      <c r="BT18" s="9">
        <v>179</v>
      </c>
      <c r="BU18" s="9">
        <v>223</v>
      </c>
      <c r="BV18" s="9">
        <v>268</v>
      </c>
      <c r="BW18" s="8">
        <v>54</v>
      </c>
      <c r="BX18" s="9">
        <v>108</v>
      </c>
      <c r="BY18" s="9">
        <v>162</v>
      </c>
      <c r="BZ18" s="9">
        <v>216</v>
      </c>
      <c r="CA18" s="9">
        <v>270</v>
      </c>
      <c r="CB18" s="9">
        <v>324</v>
      </c>
      <c r="CC18" s="8">
        <v>65</v>
      </c>
      <c r="CD18" s="9">
        <v>130</v>
      </c>
      <c r="CE18" s="9">
        <v>195</v>
      </c>
      <c r="CF18" s="9">
        <v>259</v>
      </c>
      <c r="CG18" s="9">
        <v>324</v>
      </c>
      <c r="CH18" s="10">
        <v>389</v>
      </c>
      <c r="CI18" s="8">
        <v>16</v>
      </c>
      <c r="CJ18" s="9">
        <v>32</v>
      </c>
      <c r="CK18" s="9">
        <v>48</v>
      </c>
      <c r="CL18" s="9">
        <v>63</v>
      </c>
      <c r="CM18" s="9">
        <v>79</v>
      </c>
      <c r="CN18" s="9">
        <v>95</v>
      </c>
      <c r="CO18" s="8">
        <v>19</v>
      </c>
      <c r="CP18" s="9">
        <v>38</v>
      </c>
      <c r="CQ18" s="9">
        <v>57</v>
      </c>
      <c r="CR18" s="9">
        <v>75</v>
      </c>
      <c r="CS18" s="9">
        <v>94</v>
      </c>
      <c r="CT18" s="9">
        <v>113</v>
      </c>
      <c r="CU18" s="8">
        <v>23</v>
      </c>
      <c r="CV18" s="9">
        <v>46</v>
      </c>
      <c r="CW18" s="9">
        <v>69</v>
      </c>
      <c r="CX18" s="9">
        <v>91</v>
      </c>
      <c r="CY18" s="9">
        <v>114</v>
      </c>
      <c r="CZ18" s="9">
        <v>137</v>
      </c>
      <c r="DA18" s="8">
        <v>28</v>
      </c>
      <c r="DB18" s="9">
        <v>55</v>
      </c>
      <c r="DC18" s="9">
        <v>83</v>
      </c>
      <c r="DD18" s="9">
        <v>111</v>
      </c>
      <c r="DE18" s="9">
        <v>138</v>
      </c>
      <c r="DF18" s="9">
        <v>166</v>
      </c>
      <c r="DG18" s="8">
        <v>34</v>
      </c>
      <c r="DH18" s="9">
        <v>67</v>
      </c>
      <c r="DI18" s="9">
        <v>101</v>
      </c>
      <c r="DJ18" s="9">
        <v>134</v>
      </c>
      <c r="DK18" s="9">
        <v>168</v>
      </c>
      <c r="DL18" s="9">
        <v>201</v>
      </c>
      <c r="DM18" s="8">
        <v>41</v>
      </c>
      <c r="DN18" s="9">
        <v>81</v>
      </c>
      <c r="DO18" s="9">
        <v>122</v>
      </c>
      <c r="DP18" s="9">
        <v>162</v>
      </c>
      <c r="DQ18" s="9">
        <v>203</v>
      </c>
      <c r="DR18" s="9">
        <v>243</v>
      </c>
      <c r="DS18" s="8">
        <v>49</v>
      </c>
      <c r="DT18" s="9">
        <v>97</v>
      </c>
      <c r="DU18" s="9">
        <v>146</v>
      </c>
      <c r="DV18" s="9">
        <v>195</v>
      </c>
      <c r="DW18" s="9">
        <v>243</v>
      </c>
      <c r="DX18" s="10">
        <v>292</v>
      </c>
      <c r="DY18" s="8">
        <v>11</v>
      </c>
      <c r="DZ18" s="9">
        <v>21</v>
      </c>
      <c r="EA18" s="9">
        <v>32</v>
      </c>
      <c r="EB18" s="9">
        <v>42</v>
      </c>
      <c r="EC18" s="9">
        <v>53</v>
      </c>
      <c r="ED18" s="9">
        <v>63</v>
      </c>
      <c r="EE18" s="8">
        <v>13</v>
      </c>
      <c r="EF18" s="9">
        <v>25</v>
      </c>
      <c r="EG18" s="9">
        <v>38</v>
      </c>
      <c r="EH18" s="9">
        <v>51</v>
      </c>
      <c r="EI18" s="9">
        <v>63</v>
      </c>
      <c r="EJ18" s="9">
        <v>76</v>
      </c>
      <c r="EK18" s="8">
        <v>15</v>
      </c>
      <c r="EL18" s="9">
        <v>30</v>
      </c>
      <c r="EM18" s="9">
        <v>46</v>
      </c>
      <c r="EN18" s="9">
        <v>61</v>
      </c>
      <c r="EO18" s="9">
        <v>76</v>
      </c>
      <c r="EP18" s="9">
        <v>91</v>
      </c>
      <c r="EQ18" s="8">
        <v>19</v>
      </c>
      <c r="ER18" s="9">
        <v>37</v>
      </c>
      <c r="ES18" s="9">
        <v>56</v>
      </c>
      <c r="ET18" s="9">
        <v>74</v>
      </c>
      <c r="EU18" s="9">
        <v>93</v>
      </c>
      <c r="EV18" s="9">
        <v>111</v>
      </c>
      <c r="EW18" s="8">
        <v>22</v>
      </c>
      <c r="EX18" s="9">
        <v>45</v>
      </c>
      <c r="EY18" s="9">
        <v>67</v>
      </c>
      <c r="EZ18" s="9">
        <v>89</v>
      </c>
      <c r="FA18" s="9">
        <v>112</v>
      </c>
      <c r="FB18" s="9">
        <v>134</v>
      </c>
      <c r="FC18" s="8">
        <v>27</v>
      </c>
      <c r="FD18" s="9">
        <v>54</v>
      </c>
      <c r="FE18" s="9">
        <v>81</v>
      </c>
      <c r="FF18" s="9">
        <v>108</v>
      </c>
      <c r="FG18" s="9">
        <v>135</v>
      </c>
      <c r="FH18" s="9">
        <v>162</v>
      </c>
      <c r="FI18" s="8">
        <v>33</v>
      </c>
      <c r="FJ18" s="9">
        <v>65</v>
      </c>
      <c r="FK18" s="9">
        <v>98</v>
      </c>
      <c r="FL18" s="9">
        <v>130</v>
      </c>
      <c r="FM18" s="9">
        <v>163</v>
      </c>
      <c r="FN18" s="10">
        <v>195</v>
      </c>
      <c r="FO18" s="8">
        <v>8</v>
      </c>
      <c r="FP18" s="9">
        <v>16</v>
      </c>
      <c r="FQ18" s="9">
        <v>24</v>
      </c>
      <c r="FR18" s="9">
        <v>31</v>
      </c>
      <c r="FS18" s="9">
        <v>39</v>
      </c>
      <c r="FT18" s="9">
        <v>47</v>
      </c>
      <c r="FU18" s="8">
        <v>10</v>
      </c>
      <c r="FV18" s="9">
        <v>19</v>
      </c>
      <c r="FW18" s="9">
        <v>29</v>
      </c>
      <c r="FX18" s="9">
        <v>38</v>
      </c>
      <c r="FY18" s="9">
        <v>48</v>
      </c>
      <c r="FZ18" s="9">
        <v>57</v>
      </c>
      <c r="GA18" s="8">
        <v>11</v>
      </c>
      <c r="GB18" s="9">
        <v>23</v>
      </c>
      <c r="GC18" s="9">
        <v>34</v>
      </c>
      <c r="GD18" s="9">
        <v>45</v>
      </c>
      <c r="GE18" s="9">
        <v>57</v>
      </c>
      <c r="GF18" s="9">
        <v>68</v>
      </c>
      <c r="GG18" s="8">
        <v>14</v>
      </c>
      <c r="GH18" s="9">
        <v>28</v>
      </c>
      <c r="GI18" s="9">
        <v>42</v>
      </c>
      <c r="GJ18" s="9">
        <v>55</v>
      </c>
      <c r="GK18" s="9">
        <v>69</v>
      </c>
      <c r="GL18" s="9">
        <v>83</v>
      </c>
      <c r="GM18" s="8">
        <v>17</v>
      </c>
      <c r="GN18" s="9">
        <v>33</v>
      </c>
      <c r="GO18" s="9">
        <v>51</v>
      </c>
      <c r="GP18" s="9">
        <v>67</v>
      </c>
      <c r="GQ18" s="9">
        <v>84</v>
      </c>
      <c r="GR18" s="9">
        <v>101</v>
      </c>
      <c r="GS18" s="8">
        <v>20</v>
      </c>
      <c r="GT18" s="9">
        <v>41</v>
      </c>
      <c r="GU18" s="9">
        <v>61</v>
      </c>
      <c r="GV18" s="9">
        <v>81</v>
      </c>
      <c r="GW18" s="9">
        <v>102</v>
      </c>
      <c r="GX18" s="122">
        <v>122</v>
      </c>
      <c r="GY18" s="8">
        <v>24</v>
      </c>
      <c r="GZ18" s="9">
        <v>49</v>
      </c>
      <c r="HA18" s="9">
        <v>73</v>
      </c>
      <c r="HB18" s="9">
        <v>97</v>
      </c>
      <c r="HC18" s="9">
        <v>122</v>
      </c>
      <c r="HD18" s="10">
        <v>146</v>
      </c>
      <c r="HE18" s="29">
        <v>5</v>
      </c>
      <c r="HF18" s="9">
        <v>11</v>
      </c>
      <c r="HG18" s="9">
        <v>16</v>
      </c>
      <c r="HH18" s="9">
        <v>21</v>
      </c>
      <c r="HI18" s="9">
        <v>27</v>
      </c>
      <c r="HJ18" s="9">
        <v>32</v>
      </c>
      <c r="HK18" s="8">
        <v>6</v>
      </c>
      <c r="HL18" s="9">
        <v>13</v>
      </c>
      <c r="HM18" s="9">
        <v>19</v>
      </c>
      <c r="HN18" s="9">
        <v>25</v>
      </c>
      <c r="HO18" s="9">
        <v>32</v>
      </c>
      <c r="HP18" s="9">
        <v>38</v>
      </c>
      <c r="HQ18" s="8">
        <v>8</v>
      </c>
      <c r="HR18" s="9">
        <v>15</v>
      </c>
      <c r="HS18" s="9">
        <v>23</v>
      </c>
      <c r="HT18" s="9">
        <v>31</v>
      </c>
      <c r="HU18" s="9">
        <v>38</v>
      </c>
      <c r="HV18" s="9">
        <v>46</v>
      </c>
      <c r="HW18" s="8">
        <v>9</v>
      </c>
      <c r="HX18" s="9">
        <v>18</v>
      </c>
      <c r="HY18" s="9">
        <v>28</v>
      </c>
      <c r="HZ18" s="9">
        <v>37</v>
      </c>
      <c r="IA18" s="9">
        <v>46</v>
      </c>
      <c r="IB18" s="9">
        <v>55</v>
      </c>
      <c r="IC18" s="8">
        <v>11</v>
      </c>
      <c r="ID18" s="9">
        <v>22</v>
      </c>
      <c r="IE18" s="9">
        <v>34</v>
      </c>
      <c r="IF18" s="9">
        <v>45</v>
      </c>
      <c r="IG18" s="9">
        <v>56</v>
      </c>
      <c r="IH18" s="9">
        <v>67</v>
      </c>
      <c r="II18" s="8">
        <v>14</v>
      </c>
      <c r="IJ18" s="9">
        <v>27</v>
      </c>
      <c r="IK18" s="9">
        <v>41</v>
      </c>
      <c r="IL18" s="9">
        <v>54</v>
      </c>
      <c r="IM18" s="9">
        <v>68</v>
      </c>
      <c r="IN18" s="9">
        <v>81</v>
      </c>
      <c r="IO18" s="8">
        <v>16</v>
      </c>
      <c r="IP18" s="9">
        <v>32</v>
      </c>
      <c r="IQ18" s="9">
        <v>49</v>
      </c>
      <c r="IR18" s="9">
        <v>65</v>
      </c>
      <c r="IS18" s="9">
        <v>81</v>
      </c>
      <c r="IT18" s="10">
        <v>97</v>
      </c>
      <c r="IU18" s="193">
        <v>0</v>
      </c>
    </row>
    <row r="19" spans="1:255" x14ac:dyDescent="0.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c r="IQ19" s="6"/>
      <c r="IR19" s="6"/>
      <c r="IS19" s="6"/>
      <c r="IT19" s="6"/>
    </row>
    <row r="20" spans="1:255" x14ac:dyDescent="0.2">
      <c r="B20" t="s">
        <v>9</v>
      </c>
      <c r="C20" s="116">
        <v>6</v>
      </c>
      <c r="D20" s="117">
        <v>6</v>
      </c>
      <c r="E20" s="117">
        <v>6</v>
      </c>
      <c r="F20" s="117">
        <v>6</v>
      </c>
      <c r="G20" s="117">
        <v>6</v>
      </c>
      <c r="H20" s="117">
        <v>6</v>
      </c>
      <c r="I20" s="110">
        <v>6.5</v>
      </c>
      <c r="J20" s="117">
        <v>6.5</v>
      </c>
      <c r="K20" s="117">
        <v>6.5</v>
      </c>
      <c r="L20" s="117">
        <v>6.5</v>
      </c>
      <c r="M20" s="117">
        <v>6.5</v>
      </c>
      <c r="N20" s="117">
        <v>6.5</v>
      </c>
      <c r="O20" s="110">
        <v>7</v>
      </c>
      <c r="P20" s="117">
        <v>7</v>
      </c>
      <c r="Q20" s="117">
        <v>7</v>
      </c>
      <c r="R20" s="117">
        <v>7</v>
      </c>
      <c r="S20" s="117">
        <v>7</v>
      </c>
      <c r="T20" s="117">
        <v>7</v>
      </c>
      <c r="U20" s="110">
        <v>7.5</v>
      </c>
      <c r="V20" s="117">
        <v>7.5</v>
      </c>
      <c r="W20" s="117">
        <v>7.5</v>
      </c>
      <c r="X20" s="117">
        <v>7.5</v>
      </c>
      <c r="Y20" s="117">
        <v>7.5</v>
      </c>
      <c r="Z20" s="117">
        <v>7.5</v>
      </c>
      <c r="AA20" s="110">
        <v>8</v>
      </c>
      <c r="AB20" s="117">
        <v>8</v>
      </c>
      <c r="AC20" s="117">
        <v>8</v>
      </c>
      <c r="AD20" s="117">
        <v>8</v>
      </c>
      <c r="AE20" s="117">
        <v>8</v>
      </c>
      <c r="AF20" s="117">
        <v>8</v>
      </c>
      <c r="AG20" s="110">
        <v>8.5</v>
      </c>
      <c r="AH20" s="117">
        <v>8.5</v>
      </c>
      <c r="AI20" s="117">
        <v>8.5</v>
      </c>
      <c r="AJ20" s="117">
        <v>8.5</v>
      </c>
      <c r="AK20" s="117">
        <v>8.5</v>
      </c>
      <c r="AL20" s="117">
        <v>8.5</v>
      </c>
      <c r="AM20" s="110">
        <v>9</v>
      </c>
      <c r="AN20" s="117">
        <v>9</v>
      </c>
      <c r="AO20" s="117">
        <v>9</v>
      </c>
      <c r="AP20" s="117">
        <v>9</v>
      </c>
      <c r="AQ20" s="117">
        <v>9</v>
      </c>
      <c r="AR20" s="118">
        <v>9</v>
      </c>
      <c r="AS20" s="114">
        <v>6</v>
      </c>
      <c r="AT20" s="114">
        <v>6</v>
      </c>
      <c r="AU20" s="114">
        <v>6</v>
      </c>
      <c r="AV20" s="114">
        <v>6</v>
      </c>
      <c r="AW20" s="114">
        <v>6</v>
      </c>
      <c r="AX20" s="114">
        <v>6</v>
      </c>
      <c r="AY20" s="110">
        <v>6.5</v>
      </c>
      <c r="AZ20" s="114">
        <v>6.5</v>
      </c>
      <c r="BA20" s="114">
        <v>6.5</v>
      </c>
      <c r="BB20" s="114">
        <v>6.5</v>
      </c>
      <c r="BC20" s="114">
        <v>6.5</v>
      </c>
      <c r="BD20" s="114">
        <v>6.5</v>
      </c>
      <c r="BE20" s="110">
        <v>7</v>
      </c>
      <c r="BF20" s="114">
        <v>7</v>
      </c>
      <c r="BG20" s="114">
        <v>7</v>
      </c>
      <c r="BH20" s="114">
        <v>7</v>
      </c>
      <c r="BI20" s="114">
        <v>7</v>
      </c>
      <c r="BJ20" s="114">
        <v>7</v>
      </c>
      <c r="BK20" s="110">
        <v>7.5</v>
      </c>
      <c r="BL20" s="114">
        <v>7.5</v>
      </c>
      <c r="BM20" s="114">
        <v>7.5</v>
      </c>
      <c r="BN20" s="114">
        <v>7.5</v>
      </c>
      <c r="BO20" s="114">
        <v>7.5</v>
      </c>
      <c r="BP20" s="114">
        <v>7.5</v>
      </c>
      <c r="BQ20" s="110">
        <v>8</v>
      </c>
      <c r="BR20" s="114">
        <v>8</v>
      </c>
      <c r="BS20" s="114">
        <v>8</v>
      </c>
      <c r="BT20" s="114">
        <v>8</v>
      </c>
      <c r="BU20" s="114">
        <v>8</v>
      </c>
      <c r="BV20" s="114">
        <v>8</v>
      </c>
      <c r="BW20" s="110">
        <v>8.5</v>
      </c>
      <c r="BX20" s="114">
        <v>8.5</v>
      </c>
      <c r="BY20" s="114">
        <v>8.5</v>
      </c>
      <c r="BZ20" s="114">
        <v>8.5</v>
      </c>
      <c r="CA20" s="114">
        <v>8.5</v>
      </c>
      <c r="CB20" s="114">
        <v>8.5</v>
      </c>
      <c r="CC20" s="110">
        <v>9</v>
      </c>
      <c r="CD20" s="114">
        <v>9</v>
      </c>
      <c r="CE20" s="114">
        <v>9</v>
      </c>
      <c r="CF20" s="114">
        <v>9</v>
      </c>
      <c r="CG20" s="114">
        <v>9</v>
      </c>
      <c r="CH20" s="115">
        <v>9</v>
      </c>
      <c r="CI20" s="116">
        <v>6</v>
      </c>
      <c r="CJ20" s="117">
        <v>6</v>
      </c>
      <c r="CK20" s="117">
        <v>6</v>
      </c>
      <c r="CL20" s="117">
        <v>6</v>
      </c>
      <c r="CM20" s="117">
        <v>6</v>
      </c>
      <c r="CN20" s="117">
        <v>6</v>
      </c>
      <c r="CO20" s="110">
        <v>6.5</v>
      </c>
      <c r="CP20" s="117">
        <v>6.5</v>
      </c>
      <c r="CQ20" s="117">
        <v>6.5</v>
      </c>
      <c r="CR20" s="117">
        <v>6.5</v>
      </c>
      <c r="CS20" s="117">
        <v>6.5</v>
      </c>
      <c r="CT20" s="117">
        <v>6.5</v>
      </c>
      <c r="CU20" s="110">
        <v>7</v>
      </c>
      <c r="CV20" s="117">
        <v>7</v>
      </c>
      <c r="CW20" s="117">
        <v>7</v>
      </c>
      <c r="CX20" s="117">
        <v>7</v>
      </c>
      <c r="CY20" s="117">
        <v>7</v>
      </c>
      <c r="CZ20" s="117">
        <v>7</v>
      </c>
      <c r="DA20" s="110">
        <v>7.5</v>
      </c>
      <c r="DB20" s="117">
        <v>7.5</v>
      </c>
      <c r="DC20" s="117">
        <v>7.5</v>
      </c>
      <c r="DD20" s="117">
        <v>7.5</v>
      </c>
      <c r="DE20" s="117">
        <v>7.5</v>
      </c>
      <c r="DF20" s="117">
        <v>7.5</v>
      </c>
      <c r="DG20" s="110">
        <v>8</v>
      </c>
      <c r="DH20" s="117">
        <v>8</v>
      </c>
      <c r="DI20" s="117">
        <v>8</v>
      </c>
      <c r="DJ20" s="117">
        <v>8</v>
      </c>
      <c r="DK20" s="117">
        <v>8</v>
      </c>
      <c r="DL20" s="117">
        <v>8</v>
      </c>
      <c r="DM20" s="110">
        <v>8.5</v>
      </c>
      <c r="DN20" s="117">
        <v>8.5</v>
      </c>
      <c r="DO20" s="117">
        <v>8.5</v>
      </c>
      <c r="DP20" s="117">
        <v>8.5</v>
      </c>
      <c r="DQ20" s="117">
        <v>8.5</v>
      </c>
      <c r="DR20" s="117">
        <v>8.5</v>
      </c>
      <c r="DS20" s="110">
        <v>9</v>
      </c>
      <c r="DT20" s="117">
        <v>9</v>
      </c>
      <c r="DU20" s="117">
        <v>9</v>
      </c>
      <c r="DV20" s="117">
        <v>9</v>
      </c>
      <c r="DW20" s="117">
        <v>9</v>
      </c>
      <c r="DX20" s="118">
        <v>9</v>
      </c>
      <c r="DY20" s="110">
        <v>6</v>
      </c>
      <c r="DZ20" s="114">
        <v>6</v>
      </c>
      <c r="EA20" s="114">
        <v>6</v>
      </c>
      <c r="EB20" s="114">
        <v>6</v>
      </c>
      <c r="EC20" s="114">
        <v>6</v>
      </c>
      <c r="ED20" s="115">
        <v>6</v>
      </c>
      <c r="EE20" s="110">
        <v>6.5</v>
      </c>
      <c r="EF20" s="114">
        <v>6.5</v>
      </c>
      <c r="EG20" s="114">
        <v>6.5</v>
      </c>
      <c r="EH20" s="114">
        <v>6.5</v>
      </c>
      <c r="EI20" s="114">
        <v>6.5</v>
      </c>
      <c r="EJ20" s="115">
        <v>6.5</v>
      </c>
      <c r="EK20" s="110">
        <v>7</v>
      </c>
      <c r="EL20" s="114">
        <v>7</v>
      </c>
      <c r="EM20" s="114">
        <v>7</v>
      </c>
      <c r="EN20" s="114">
        <v>7</v>
      </c>
      <c r="EO20" s="114">
        <v>7</v>
      </c>
      <c r="EP20" s="115">
        <v>7</v>
      </c>
      <c r="EQ20" s="110">
        <v>7.5</v>
      </c>
      <c r="ER20" s="114">
        <v>7.5</v>
      </c>
      <c r="ES20" s="114">
        <v>7.5</v>
      </c>
      <c r="ET20" s="114">
        <v>7.5</v>
      </c>
      <c r="EU20" s="114">
        <v>7.5</v>
      </c>
      <c r="EV20" s="115">
        <v>7.5</v>
      </c>
      <c r="EW20" s="110">
        <v>8</v>
      </c>
      <c r="EX20" s="114">
        <v>8</v>
      </c>
      <c r="EY20" s="114">
        <v>8</v>
      </c>
      <c r="EZ20" s="114">
        <v>8</v>
      </c>
      <c r="FA20" s="114">
        <v>8</v>
      </c>
      <c r="FB20" s="115">
        <v>8</v>
      </c>
      <c r="FC20" s="110">
        <v>8.5</v>
      </c>
      <c r="FD20" s="114">
        <v>8.5</v>
      </c>
      <c r="FE20" s="114">
        <v>8.5</v>
      </c>
      <c r="FF20" s="114">
        <v>8.5</v>
      </c>
      <c r="FG20" s="114">
        <v>8.5</v>
      </c>
      <c r="FH20" s="115">
        <v>8.5</v>
      </c>
      <c r="FI20" s="110">
        <v>9</v>
      </c>
      <c r="FJ20" s="114">
        <v>9</v>
      </c>
      <c r="FK20" s="114">
        <v>9</v>
      </c>
      <c r="FL20" s="114">
        <v>9</v>
      </c>
      <c r="FM20" s="114">
        <v>9</v>
      </c>
      <c r="FN20" s="115">
        <v>9</v>
      </c>
      <c r="FO20" s="110">
        <v>6</v>
      </c>
      <c r="FP20" s="114">
        <v>6</v>
      </c>
      <c r="FQ20" s="114">
        <v>6</v>
      </c>
      <c r="FR20" s="114">
        <v>6</v>
      </c>
      <c r="FS20" s="114">
        <v>6</v>
      </c>
      <c r="FT20" s="115">
        <v>6</v>
      </c>
      <c r="FU20" s="110">
        <v>6.5</v>
      </c>
      <c r="FV20" s="114">
        <v>6.5</v>
      </c>
      <c r="FW20" s="114">
        <v>6.5</v>
      </c>
      <c r="FX20" s="114">
        <v>6.5</v>
      </c>
      <c r="FY20" s="114">
        <v>6.5</v>
      </c>
      <c r="FZ20" s="115">
        <v>6.5</v>
      </c>
      <c r="GA20" s="110">
        <v>7</v>
      </c>
      <c r="GB20" s="114">
        <v>7</v>
      </c>
      <c r="GC20" s="114">
        <v>7</v>
      </c>
      <c r="GD20" s="114">
        <v>7</v>
      </c>
      <c r="GE20" s="114">
        <v>7</v>
      </c>
      <c r="GF20" s="115">
        <v>7</v>
      </c>
      <c r="GG20" s="110">
        <v>7.5</v>
      </c>
      <c r="GH20" s="114">
        <v>7.5</v>
      </c>
      <c r="GI20" s="114">
        <v>7.5</v>
      </c>
      <c r="GJ20" s="114">
        <v>7.5</v>
      </c>
      <c r="GK20" s="114">
        <v>7.5</v>
      </c>
      <c r="GL20" s="115">
        <v>7.5</v>
      </c>
      <c r="GM20" s="110">
        <v>8</v>
      </c>
      <c r="GN20" s="114">
        <v>8</v>
      </c>
      <c r="GO20" s="114">
        <v>8</v>
      </c>
      <c r="GP20" s="114">
        <v>8</v>
      </c>
      <c r="GQ20" s="114">
        <v>8</v>
      </c>
      <c r="GR20" s="115">
        <v>8</v>
      </c>
      <c r="GS20" s="110">
        <v>8.5</v>
      </c>
      <c r="GT20" s="114">
        <v>8.5</v>
      </c>
      <c r="GU20" s="114">
        <v>8.5</v>
      </c>
      <c r="GV20" s="114">
        <v>8.5</v>
      </c>
      <c r="GW20" s="114">
        <v>8.5</v>
      </c>
      <c r="GX20" s="115">
        <v>8.5</v>
      </c>
      <c r="GY20" s="110">
        <v>9</v>
      </c>
      <c r="GZ20" s="114">
        <v>9</v>
      </c>
      <c r="HA20" s="114">
        <v>9</v>
      </c>
      <c r="HB20" s="114">
        <v>9</v>
      </c>
      <c r="HC20" s="114">
        <v>9</v>
      </c>
      <c r="HD20" s="115">
        <v>9</v>
      </c>
      <c r="HE20" s="110">
        <v>6</v>
      </c>
      <c r="HF20" s="114">
        <v>6</v>
      </c>
      <c r="HG20" s="114">
        <v>6</v>
      </c>
      <c r="HH20" s="114">
        <v>6</v>
      </c>
      <c r="HI20" s="114">
        <v>6</v>
      </c>
      <c r="HJ20" s="115">
        <v>6</v>
      </c>
      <c r="HK20" s="110">
        <v>6.5</v>
      </c>
      <c r="HL20" s="114">
        <v>6.5</v>
      </c>
      <c r="HM20" s="114">
        <v>6.5</v>
      </c>
      <c r="HN20" s="114">
        <v>6.5</v>
      </c>
      <c r="HO20" s="114">
        <v>6.5</v>
      </c>
      <c r="HP20" s="115">
        <v>6.5</v>
      </c>
      <c r="HQ20" s="110">
        <v>7</v>
      </c>
      <c r="HR20" s="114">
        <v>7</v>
      </c>
      <c r="HS20" s="114">
        <v>7</v>
      </c>
      <c r="HT20" s="114">
        <v>7</v>
      </c>
      <c r="HU20" s="114">
        <v>7</v>
      </c>
      <c r="HV20" s="115">
        <v>7</v>
      </c>
      <c r="HW20" s="110">
        <v>7.5</v>
      </c>
      <c r="HX20" s="114">
        <v>7.5</v>
      </c>
      <c r="HY20" s="114">
        <v>7.5</v>
      </c>
      <c r="HZ20" s="114">
        <v>7.5</v>
      </c>
      <c r="IA20" s="114">
        <v>7.5</v>
      </c>
      <c r="IB20" s="115">
        <v>7.5</v>
      </c>
      <c r="IC20" s="110">
        <v>8</v>
      </c>
      <c r="ID20" s="114">
        <v>8</v>
      </c>
      <c r="IE20" s="114">
        <v>8</v>
      </c>
      <c r="IF20" s="114">
        <v>8</v>
      </c>
      <c r="IG20" s="114">
        <v>8</v>
      </c>
      <c r="IH20" s="115">
        <v>8</v>
      </c>
      <c r="II20" s="110">
        <v>8.5</v>
      </c>
      <c r="IJ20" s="114">
        <v>8.5</v>
      </c>
      <c r="IK20" s="114">
        <v>8.5</v>
      </c>
      <c r="IL20" s="114">
        <v>8.5</v>
      </c>
      <c r="IM20" s="114">
        <v>8.5</v>
      </c>
      <c r="IN20" s="115">
        <v>8.5</v>
      </c>
      <c r="IO20" s="110">
        <v>9</v>
      </c>
      <c r="IP20" s="114">
        <v>9</v>
      </c>
      <c r="IQ20" s="114">
        <v>9</v>
      </c>
      <c r="IR20" s="114">
        <v>9</v>
      </c>
      <c r="IS20" s="114">
        <v>9</v>
      </c>
      <c r="IT20" s="115">
        <v>9</v>
      </c>
    </row>
    <row r="21" spans="1:255" s="6" customFormat="1" x14ac:dyDescent="0.2">
      <c r="B21" s="6" t="s">
        <v>58</v>
      </c>
      <c r="C21" s="110">
        <v>0.5</v>
      </c>
      <c r="D21" s="114">
        <v>0.5</v>
      </c>
      <c r="E21" s="114">
        <v>0.5</v>
      </c>
      <c r="F21" s="114">
        <v>0.5</v>
      </c>
      <c r="G21" s="114">
        <v>0.5</v>
      </c>
      <c r="H21" s="114">
        <v>0.5</v>
      </c>
      <c r="I21" s="114">
        <v>0.5</v>
      </c>
      <c r="J21" s="114">
        <v>0.5</v>
      </c>
      <c r="K21" s="114">
        <v>0.5</v>
      </c>
      <c r="L21" s="114">
        <v>0.5</v>
      </c>
      <c r="M21" s="114">
        <v>0.5</v>
      </c>
      <c r="N21" s="114">
        <v>0.5</v>
      </c>
      <c r="O21" s="114">
        <v>0.5</v>
      </c>
      <c r="P21" s="114">
        <v>0.5</v>
      </c>
      <c r="Q21" s="114">
        <v>0.5</v>
      </c>
      <c r="R21" s="114">
        <v>0.5</v>
      </c>
      <c r="S21" s="114">
        <v>0.5</v>
      </c>
      <c r="T21" s="114">
        <v>0.5</v>
      </c>
      <c r="U21" s="114">
        <v>0.5</v>
      </c>
      <c r="V21" s="114">
        <v>0.5</v>
      </c>
      <c r="W21" s="114">
        <v>0.5</v>
      </c>
      <c r="X21" s="114">
        <v>0.5</v>
      </c>
      <c r="Y21" s="114">
        <v>0.5</v>
      </c>
      <c r="Z21" s="114">
        <v>0.5</v>
      </c>
      <c r="AA21" s="114">
        <v>0.5</v>
      </c>
      <c r="AB21" s="114">
        <v>0.5</v>
      </c>
      <c r="AC21" s="114">
        <v>0.5</v>
      </c>
      <c r="AD21" s="114">
        <v>0.5</v>
      </c>
      <c r="AE21" s="114">
        <v>0.5</v>
      </c>
      <c r="AF21" s="114">
        <v>0.5</v>
      </c>
      <c r="AG21" s="114">
        <v>0.5</v>
      </c>
      <c r="AH21" s="114">
        <v>0.5</v>
      </c>
      <c r="AI21" s="114">
        <v>0.5</v>
      </c>
      <c r="AJ21" s="114">
        <v>0.5</v>
      </c>
      <c r="AK21" s="114">
        <v>0.5</v>
      </c>
      <c r="AL21" s="114">
        <v>0.5</v>
      </c>
      <c r="AM21" s="114">
        <v>0.5</v>
      </c>
      <c r="AN21" s="114">
        <v>0.5</v>
      </c>
      <c r="AO21" s="114">
        <v>0.5</v>
      </c>
      <c r="AP21" s="114">
        <v>0.5</v>
      </c>
      <c r="AQ21" s="114">
        <v>0.5</v>
      </c>
      <c r="AR21" s="115">
        <v>0.5</v>
      </c>
      <c r="AS21" s="81">
        <v>5</v>
      </c>
      <c r="AT21" s="81">
        <v>5</v>
      </c>
      <c r="AU21" s="81">
        <v>5</v>
      </c>
      <c r="AV21" s="81">
        <v>5</v>
      </c>
      <c r="AW21" s="81">
        <v>5</v>
      </c>
      <c r="AX21" s="81">
        <v>5</v>
      </c>
      <c r="AY21" s="81">
        <v>5</v>
      </c>
      <c r="AZ21" s="81">
        <v>5</v>
      </c>
      <c r="BA21" s="81">
        <v>5</v>
      </c>
      <c r="BB21" s="81">
        <v>5</v>
      </c>
      <c r="BC21" s="81">
        <v>5</v>
      </c>
      <c r="BD21" s="81">
        <v>5</v>
      </c>
      <c r="BE21" s="81">
        <v>5</v>
      </c>
      <c r="BF21" s="81">
        <v>5</v>
      </c>
      <c r="BG21" s="81">
        <v>5</v>
      </c>
      <c r="BH21" s="81">
        <v>5</v>
      </c>
      <c r="BI21" s="81">
        <v>5</v>
      </c>
      <c r="BJ21" s="81">
        <v>5</v>
      </c>
      <c r="BK21" s="81">
        <v>5</v>
      </c>
      <c r="BL21" s="81">
        <v>5</v>
      </c>
      <c r="BM21" s="81">
        <v>5</v>
      </c>
      <c r="BN21" s="81">
        <v>5</v>
      </c>
      <c r="BO21" s="81">
        <v>5</v>
      </c>
      <c r="BP21" s="81">
        <v>5</v>
      </c>
      <c r="BQ21" s="81">
        <v>5</v>
      </c>
      <c r="BR21" s="81">
        <v>5</v>
      </c>
      <c r="BS21" s="81">
        <v>5</v>
      </c>
      <c r="BT21" s="81">
        <v>5</v>
      </c>
      <c r="BU21" s="81">
        <v>5</v>
      </c>
      <c r="BV21" s="81">
        <v>5</v>
      </c>
      <c r="BW21" s="81">
        <v>5</v>
      </c>
      <c r="BX21" s="81">
        <v>5</v>
      </c>
      <c r="BY21" s="81">
        <v>5</v>
      </c>
      <c r="BZ21" s="81">
        <v>5</v>
      </c>
      <c r="CA21" s="81">
        <v>5</v>
      </c>
      <c r="CB21" s="81">
        <v>5</v>
      </c>
      <c r="CC21" s="81">
        <v>5</v>
      </c>
      <c r="CD21" s="81">
        <v>5</v>
      </c>
      <c r="CE21" s="81">
        <v>5</v>
      </c>
      <c r="CF21" s="81">
        <v>5</v>
      </c>
      <c r="CG21" s="81">
        <v>5</v>
      </c>
      <c r="CH21" s="81">
        <v>5</v>
      </c>
      <c r="CI21" s="110">
        <v>10</v>
      </c>
      <c r="CJ21" s="114">
        <v>10</v>
      </c>
      <c r="CK21" s="114">
        <v>10</v>
      </c>
      <c r="CL21" s="114">
        <v>10</v>
      </c>
      <c r="CM21" s="114">
        <v>10</v>
      </c>
      <c r="CN21" s="114">
        <v>10</v>
      </c>
      <c r="CO21" s="114">
        <v>10</v>
      </c>
      <c r="CP21" s="114">
        <v>10</v>
      </c>
      <c r="CQ21" s="114">
        <v>10</v>
      </c>
      <c r="CR21" s="114">
        <v>10</v>
      </c>
      <c r="CS21" s="114">
        <v>10</v>
      </c>
      <c r="CT21" s="114">
        <v>10</v>
      </c>
      <c r="CU21" s="114">
        <v>10</v>
      </c>
      <c r="CV21" s="114">
        <v>10</v>
      </c>
      <c r="CW21" s="114">
        <v>10</v>
      </c>
      <c r="CX21" s="114">
        <v>10</v>
      </c>
      <c r="CY21" s="114">
        <v>10</v>
      </c>
      <c r="CZ21" s="114">
        <v>10</v>
      </c>
      <c r="DA21" s="114">
        <v>10</v>
      </c>
      <c r="DB21" s="114">
        <v>10</v>
      </c>
      <c r="DC21" s="114">
        <v>10</v>
      </c>
      <c r="DD21" s="114">
        <v>10</v>
      </c>
      <c r="DE21" s="114">
        <v>10</v>
      </c>
      <c r="DF21" s="114">
        <v>10</v>
      </c>
      <c r="DG21" s="114">
        <v>10</v>
      </c>
      <c r="DH21" s="114">
        <v>10</v>
      </c>
      <c r="DI21" s="114">
        <v>10</v>
      </c>
      <c r="DJ21" s="114">
        <v>10</v>
      </c>
      <c r="DK21" s="114">
        <v>10</v>
      </c>
      <c r="DL21" s="114">
        <v>10</v>
      </c>
      <c r="DM21" s="114">
        <v>10</v>
      </c>
      <c r="DN21" s="114">
        <v>10</v>
      </c>
      <c r="DO21" s="114">
        <v>10</v>
      </c>
      <c r="DP21" s="114">
        <v>10</v>
      </c>
      <c r="DQ21" s="114">
        <v>10</v>
      </c>
      <c r="DR21" s="114">
        <v>10</v>
      </c>
      <c r="DS21" s="114">
        <v>10</v>
      </c>
      <c r="DT21" s="114">
        <v>10</v>
      </c>
      <c r="DU21" s="114">
        <v>10</v>
      </c>
      <c r="DV21" s="114">
        <v>10</v>
      </c>
      <c r="DW21" s="114">
        <v>10</v>
      </c>
      <c r="DX21" s="115">
        <v>10</v>
      </c>
      <c r="DY21" s="81">
        <v>15</v>
      </c>
      <c r="DZ21" s="81">
        <v>15</v>
      </c>
      <c r="EA21" s="81">
        <v>15</v>
      </c>
      <c r="EB21" s="81">
        <v>15</v>
      </c>
      <c r="EC21" s="81">
        <v>15</v>
      </c>
      <c r="ED21" s="81">
        <v>15</v>
      </c>
      <c r="EE21" s="81">
        <v>15</v>
      </c>
      <c r="EF21" s="81">
        <v>15</v>
      </c>
      <c r="EG21" s="81">
        <v>15</v>
      </c>
      <c r="EH21" s="81">
        <v>15</v>
      </c>
      <c r="EI21" s="81">
        <v>15</v>
      </c>
      <c r="EJ21" s="81">
        <v>15</v>
      </c>
      <c r="EK21" s="81">
        <v>15</v>
      </c>
      <c r="EL21" s="81">
        <v>15</v>
      </c>
      <c r="EM21" s="81">
        <v>15</v>
      </c>
      <c r="EN21" s="81">
        <v>15</v>
      </c>
      <c r="EO21" s="81">
        <v>15</v>
      </c>
      <c r="EP21" s="81">
        <v>15</v>
      </c>
      <c r="EQ21" s="81">
        <v>15</v>
      </c>
      <c r="ER21" s="81">
        <v>15</v>
      </c>
      <c r="ES21" s="81">
        <v>15</v>
      </c>
      <c r="ET21" s="81">
        <v>15</v>
      </c>
      <c r="EU21" s="81">
        <v>15</v>
      </c>
      <c r="EV21" s="81">
        <v>15</v>
      </c>
      <c r="EW21" s="81">
        <v>15</v>
      </c>
      <c r="EX21" s="81">
        <v>15</v>
      </c>
      <c r="EY21" s="81">
        <v>15</v>
      </c>
      <c r="EZ21" s="81">
        <v>15</v>
      </c>
      <c r="FA21" s="81">
        <v>15</v>
      </c>
      <c r="FB21" s="81">
        <v>15</v>
      </c>
      <c r="FC21" s="81">
        <v>15</v>
      </c>
      <c r="FD21" s="81">
        <v>15</v>
      </c>
      <c r="FE21" s="81">
        <v>15</v>
      </c>
      <c r="FF21" s="81">
        <v>15</v>
      </c>
      <c r="FG21" s="81">
        <v>15</v>
      </c>
      <c r="FH21" s="81">
        <v>15</v>
      </c>
      <c r="FI21" s="81">
        <v>15</v>
      </c>
      <c r="FJ21" s="81">
        <v>15</v>
      </c>
      <c r="FK21" s="81">
        <v>15</v>
      </c>
      <c r="FL21" s="81">
        <v>15</v>
      </c>
      <c r="FM21" s="81">
        <v>15</v>
      </c>
      <c r="FN21" s="81">
        <v>15</v>
      </c>
      <c r="FO21" s="110">
        <v>20</v>
      </c>
      <c r="FP21" s="114">
        <v>20</v>
      </c>
      <c r="FQ21" s="114">
        <v>20</v>
      </c>
      <c r="FR21" s="114">
        <v>20</v>
      </c>
      <c r="FS21" s="114">
        <v>20</v>
      </c>
      <c r="FT21" s="114">
        <v>20</v>
      </c>
      <c r="FU21" s="114">
        <v>20</v>
      </c>
      <c r="FV21" s="114">
        <v>20</v>
      </c>
      <c r="FW21" s="114">
        <v>20</v>
      </c>
      <c r="FX21" s="114">
        <v>20</v>
      </c>
      <c r="FY21" s="114">
        <v>20</v>
      </c>
      <c r="FZ21" s="114">
        <v>20</v>
      </c>
      <c r="GA21" s="114">
        <v>20</v>
      </c>
      <c r="GB21" s="114">
        <v>20</v>
      </c>
      <c r="GC21" s="114">
        <v>20</v>
      </c>
      <c r="GD21" s="114">
        <v>20</v>
      </c>
      <c r="GE21" s="114">
        <v>20</v>
      </c>
      <c r="GF21" s="114">
        <v>20</v>
      </c>
      <c r="GG21" s="114">
        <v>20</v>
      </c>
      <c r="GH21" s="114">
        <v>20</v>
      </c>
      <c r="GI21" s="114">
        <v>20</v>
      </c>
      <c r="GJ21" s="114">
        <v>20</v>
      </c>
      <c r="GK21" s="114">
        <v>20</v>
      </c>
      <c r="GL21" s="114">
        <v>20</v>
      </c>
      <c r="GM21" s="114">
        <v>20</v>
      </c>
      <c r="GN21" s="114">
        <v>20</v>
      </c>
      <c r="GO21" s="114">
        <v>20</v>
      </c>
      <c r="GP21" s="114">
        <v>20</v>
      </c>
      <c r="GQ21" s="114">
        <v>20</v>
      </c>
      <c r="GR21" s="114">
        <v>20</v>
      </c>
      <c r="GS21" s="114">
        <v>20</v>
      </c>
      <c r="GT21" s="114">
        <v>20</v>
      </c>
      <c r="GU21" s="114">
        <v>20</v>
      </c>
      <c r="GV21" s="114">
        <v>20</v>
      </c>
      <c r="GW21" s="114">
        <v>20</v>
      </c>
      <c r="GX21" s="114">
        <v>20</v>
      </c>
      <c r="GY21" s="114">
        <v>20</v>
      </c>
      <c r="GZ21" s="114">
        <v>20</v>
      </c>
      <c r="HA21" s="114">
        <v>20</v>
      </c>
      <c r="HB21" s="114">
        <v>20</v>
      </c>
      <c r="HC21" s="114">
        <v>20</v>
      </c>
      <c r="HD21" s="115">
        <v>20</v>
      </c>
      <c r="HE21" s="110">
        <v>25</v>
      </c>
      <c r="HF21" s="114">
        <v>25</v>
      </c>
      <c r="HG21" s="114">
        <v>25</v>
      </c>
      <c r="HH21" s="114">
        <v>25</v>
      </c>
      <c r="HI21" s="114">
        <v>25</v>
      </c>
      <c r="HJ21" s="114">
        <v>25</v>
      </c>
      <c r="HK21" s="114">
        <v>25</v>
      </c>
      <c r="HL21" s="114">
        <v>25</v>
      </c>
      <c r="HM21" s="114">
        <v>25</v>
      </c>
      <c r="HN21" s="114">
        <v>25</v>
      </c>
      <c r="HO21" s="114">
        <v>25</v>
      </c>
      <c r="HP21" s="114">
        <v>25</v>
      </c>
      <c r="HQ21" s="114">
        <v>25</v>
      </c>
      <c r="HR21" s="114">
        <v>25</v>
      </c>
      <c r="HS21" s="114">
        <v>25</v>
      </c>
      <c r="HT21" s="114">
        <v>25</v>
      </c>
      <c r="HU21" s="114">
        <v>25</v>
      </c>
      <c r="HV21" s="114">
        <v>25</v>
      </c>
      <c r="HW21" s="114">
        <v>25</v>
      </c>
      <c r="HX21" s="114">
        <v>25</v>
      </c>
      <c r="HY21" s="114">
        <v>25</v>
      </c>
      <c r="HZ21" s="114">
        <v>25</v>
      </c>
      <c r="IA21" s="114">
        <v>25</v>
      </c>
      <c r="IB21" s="114">
        <v>25</v>
      </c>
      <c r="IC21" s="114">
        <v>25</v>
      </c>
      <c r="ID21" s="114">
        <v>25</v>
      </c>
      <c r="IE21" s="114">
        <v>25</v>
      </c>
      <c r="IF21" s="114">
        <v>25</v>
      </c>
      <c r="IG21" s="114">
        <v>25</v>
      </c>
      <c r="IH21" s="114">
        <v>25</v>
      </c>
      <c r="II21" s="114">
        <v>25</v>
      </c>
      <c r="IJ21" s="114">
        <v>25</v>
      </c>
      <c r="IK21" s="114">
        <v>25</v>
      </c>
      <c r="IL21" s="114">
        <v>25</v>
      </c>
      <c r="IM21" s="114">
        <v>25</v>
      </c>
      <c r="IN21" s="114">
        <v>25</v>
      </c>
      <c r="IO21" s="114">
        <v>25</v>
      </c>
      <c r="IP21" s="114">
        <v>25</v>
      </c>
      <c r="IQ21" s="114">
        <v>25</v>
      </c>
      <c r="IR21" s="114">
        <v>25</v>
      </c>
      <c r="IS21" s="114">
        <v>25</v>
      </c>
      <c r="IT21" s="115">
        <v>25</v>
      </c>
    </row>
    <row r="22" spans="1:255" s="6" customFormat="1" x14ac:dyDescent="0.2">
      <c r="B22" s="6" t="s">
        <v>426</v>
      </c>
      <c r="C22" s="119">
        <v>1</v>
      </c>
      <c r="D22" s="120">
        <v>1</v>
      </c>
      <c r="E22" s="120">
        <v>1</v>
      </c>
      <c r="F22" s="120">
        <v>1</v>
      </c>
      <c r="G22" s="120">
        <v>1</v>
      </c>
      <c r="H22" s="120">
        <v>1</v>
      </c>
      <c r="I22" s="110">
        <v>2</v>
      </c>
      <c r="J22" s="120">
        <v>2</v>
      </c>
      <c r="K22" s="120">
        <v>2</v>
      </c>
      <c r="L22" s="120">
        <v>2</v>
      </c>
      <c r="M22" s="120">
        <v>2</v>
      </c>
      <c r="N22" s="120">
        <v>2</v>
      </c>
      <c r="O22" s="110">
        <v>3</v>
      </c>
      <c r="P22" s="120">
        <v>3</v>
      </c>
      <c r="Q22" s="120">
        <v>3</v>
      </c>
      <c r="R22" s="120">
        <v>3</v>
      </c>
      <c r="S22" s="120">
        <v>3</v>
      </c>
      <c r="T22" s="120">
        <v>3</v>
      </c>
      <c r="U22" s="110">
        <v>4</v>
      </c>
      <c r="V22" s="120">
        <v>4</v>
      </c>
      <c r="W22" s="120">
        <v>4</v>
      </c>
      <c r="X22" s="120">
        <v>4</v>
      </c>
      <c r="Y22" s="120">
        <v>4</v>
      </c>
      <c r="Z22" s="120">
        <v>4</v>
      </c>
      <c r="AA22" s="110">
        <v>5</v>
      </c>
      <c r="AB22" s="120">
        <v>5</v>
      </c>
      <c r="AC22" s="120">
        <v>5</v>
      </c>
      <c r="AD22" s="120">
        <v>5</v>
      </c>
      <c r="AE22" s="120">
        <v>5</v>
      </c>
      <c r="AF22" s="120">
        <v>5</v>
      </c>
      <c r="AG22" s="110">
        <v>6</v>
      </c>
      <c r="AH22" s="120">
        <v>6</v>
      </c>
      <c r="AI22" s="120">
        <v>6</v>
      </c>
      <c r="AJ22" s="120">
        <v>6</v>
      </c>
      <c r="AK22" s="120">
        <v>6</v>
      </c>
      <c r="AL22" s="120">
        <v>6</v>
      </c>
      <c r="AM22" s="110">
        <v>7</v>
      </c>
      <c r="AN22" s="120">
        <v>7</v>
      </c>
      <c r="AO22" s="120">
        <v>7</v>
      </c>
      <c r="AP22" s="120">
        <v>7</v>
      </c>
      <c r="AQ22" s="120">
        <v>7</v>
      </c>
      <c r="AR22" s="121">
        <v>7</v>
      </c>
      <c r="AS22" s="110">
        <v>8</v>
      </c>
      <c r="AT22" s="114">
        <v>8</v>
      </c>
      <c r="AU22" s="114">
        <v>8</v>
      </c>
      <c r="AV22" s="114">
        <v>8</v>
      </c>
      <c r="AW22" s="114">
        <v>8</v>
      </c>
      <c r="AX22" s="114">
        <v>8</v>
      </c>
      <c r="AY22" s="110">
        <v>9</v>
      </c>
      <c r="AZ22" s="114">
        <v>9</v>
      </c>
      <c r="BA22" s="114">
        <v>9</v>
      </c>
      <c r="BB22" s="114">
        <v>9</v>
      </c>
      <c r="BC22" s="114">
        <v>9</v>
      </c>
      <c r="BD22" s="114">
        <v>9</v>
      </c>
      <c r="BE22" s="110">
        <v>10</v>
      </c>
      <c r="BF22" s="114">
        <v>10</v>
      </c>
      <c r="BG22" s="114">
        <v>10</v>
      </c>
      <c r="BH22" s="114">
        <v>10</v>
      </c>
      <c r="BI22" s="114">
        <v>10</v>
      </c>
      <c r="BJ22" s="114">
        <v>10</v>
      </c>
      <c r="BK22" s="110">
        <v>11</v>
      </c>
      <c r="BL22" s="114">
        <v>11</v>
      </c>
      <c r="BM22" s="114">
        <v>11</v>
      </c>
      <c r="BN22" s="114">
        <v>11</v>
      </c>
      <c r="BO22" s="114">
        <v>11</v>
      </c>
      <c r="BP22" s="114">
        <v>11</v>
      </c>
      <c r="BQ22" s="110">
        <v>12</v>
      </c>
      <c r="BR22" s="114">
        <v>12</v>
      </c>
      <c r="BS22" s="114">
        <v>12</v>
      </c>
      <c r="BT22" s="114">
        <v>12</v>
      </c>
      <c r="BU22" s="114">
        <v>12</v>
      </c>
      <c r="BV22" s="114">
        <v>12</v>
      </c>
      <c r="BW22" s="110">
        <v>13</v>
      </c>
      <c r="BX22" s="114">
        <v>13</v>
      </c>
      <c r="BY22" s="114">
        <v>13</v>
      </c>
      <c r="BZ22" s="114">
        <v>13</v>
      </c>
      <c r="CA22" s="114">
        <v>13</v>
      </c>
      <c r="CB22" s="114">
        <v>13</v>
      </c>
      <c r="CC22" s="110">
        <v>14</v>
      </c>
      <c r="CD22" s="114">
        <v>14</v>
      </c>
      <c r="CE22" s="114">
        <v>14</v>
      </c>
      <c r="CF22" s="114">
        <v>14</v>
      </c>
      <c r="CG22" s="114">
        <v>14</v>
      </c>
      <c r="CH22" s="115">
        <v>14</v>
      </c>
      <c r="CI22" s="119">
        <v>15</v>
      </c>
      <c r="CJ22" s="120">
        <v>15</v>
      </c>
      <c r="CK22" s="120">
        <v>15</v>
      </c>
      <c r="CL22" s="120">
        <v>15</v>
      </c>
      <c r="CM22" s="120">
        <v>15</v>
      </c>
      <c r="CN22" s="120">
        <v>15</v>
      </c>
      <c r="CO22" s="110">
        <v>16</v>
      </c>
      <c r="CP22" s="120">
        <v>16</v>
      </c>
      <c r="CQ22" s="120">
        <v>16</v>
      </c>
      <c r="CR22" s="120">
        <v>16</v>
      </c>
      <c r="CS22" s="120">
        <v>16</v>
      </c>
      <c r="CT22" s="120">
        <v>16</v>
      </c>
      <c r="CU22" s="110">
        <v>17</v>
      </c>
      <c r="CV22" s="120">
        <v>17</v>
      </c>
      <c r="CW22" s="120">
        <v>17</v>
      </c>
      <c r="CX22" s="120">
        <v>17</v>
      </c>
      <c r="CY22" s="120">
        <v>17</v>
      </c>
      <c r="CZ22" s="120">
        <v>17</v>
      </c>
      <c r="DA22" s="110">
        <v>18</v>
      </c>
      <c r="DB22" s="120">
        <v>18</v>
      </c>
      <c r="DC22" s="120">
        <v>18</v>
      </c>
      <c r="DD22" s="120">
        <v>18</v>
      </c>
      <c r="DE22" s="120">
        <v>18</v>
      </c>
      <c r="DF22" s="120">
        <v>18</v>
      </c>
      <c r="DG22" s="110">
        <v>19</v>
      </c>
      <c r="DH22" s="120">
        <v>19</v>
      </c>
      <c r="DI22" s="120">
        <v>19</v>
      </c>
      <c r="DJ22" s="120">
        <v>19</v>
      </c>
      <c r="DK22" s="120">
        <v>19</v>
      </c>
      <c r="DL22" s="120">
        <v>19</v>
      </c>
      <c r="DM22" s="110">
        <v>20</v>
      </c>
      <c r="DN22" s="120">
        <v>20</v>
      </c>
      <c r="DO22" s="120">
        <v>20</v>
      </c>
      <c r="DP22" s="120">
        <v>20</v>
      </c>
      <c r="DQ22" s="120">
        <v>20</v>
      </c>
      <c r="DR22" s="120">
        <v>20</v>
      </c>
      <c r="DS22" s="110">
        <v>21</v>
      </c>
      <c r="DT22" s="120">
        <v>21</v>
      </c>
      <c r="DU22" s="120">
        <v>21</v>
      </c>
      <c r="DV22" s="120">
        <v>21</v>
      </c>
      <c r="DW22" s="120">
        <v>21</v>
      </c>
      <c r="DX22" s="121">
        <v>21</v>
      </c>
      <c r="DY22" s="114">
        <v>22</v>
      </c>
      <c r="DZ22" s="114">
        <v>22</v>
      </c>
      <c r="EA22" s="114">
        <v>22</v>
      </c>
      <c r="EB22" s="114">
        <v>22</v>
      </c>
      <c r="EC22" s="114">
        <v>22</v>
      </c>
      <c r="ED22" s="115">
        <v>22</v>
      </c>
      <c r="EE22" s="110">
        <v>23</v>
      </c>
      <c r="EF22" s="114">
        <v>23</v>
      </c>
      <c r="EG22" s="114">
        <v>23</v>
      </c>
      <c r="EH22" s="114">
        <v>23</v>
      </c>
      <c r="EI22" s="114">
        <v>23</v>
      </c>
      <c r="EJ22" s="115">
        <v>23</v>
      </c>
      <c r="EK22" s="110">
        <v>24</v>
      </c>
      <c r="EL22" s="114">
        <v>24</v>
      </c>
      <c r="EM22" s="114">
        <v>24</v>
      </c>
      <c r="EN22" s="114">
        <v>24</v>
      </c>
      <c r="EO22" s="114">
        <v>24</v>
      </c>
      <c r="EP22" s="115">
        <v>24</v>
      </c>
      <c r="EQ22" s="110">
        <v>25</v>
      </c>
      <c r="ER22" s="114">
        <v>25</v>
      </c>
      <c r="ES22" s="114">
        <v>25</v>
      </c>
      <c r="ET22" s="114">
        <v>25</v>
      </c>
      <c r="EU22" s="114">
        <v>25</v>
      </c>
      <c r="EV22" s="115">
        <v>25</v>
      </c>
      <c r="EW22" s="110">
        <v>26</v>
      </c>
      <c r="EX22" s="114">
        <v>26</v>
      </c>
      <c r="EY22" s="114">
        <v>26</v>
      </c>
      <c r="EZ22" s="114">
        <v>26</v>
      </c>
      <c r="FA22" s="114">
        <v>26</v>
      </c>
      <c r="FB22" s="115">
        <v>26</v>
      </c>
      <c r="FC22" s="110">
        <v>27</v>
      </c>
      <c r="FD22" s="114">
        <v>27</v>
      </c>
      <c r="FE22" s="114">
        <v>27</v>
      </c>
      <c r="FF22" s="114">
        <v>27</v>
      </c>
      <c r="FG22" s="114">
        <v>27</v>
      </c>
      <c r="FH22" s="115">
        <v>27</v>
      </c>
      <c r="FI22" s="110">
        <v>28</v>
      </c>
      <c r="FJ22" s="114">
        <v>28</v>
      </c>
      <c r="FK22" s="114">
        <v>28</v>
      </c>
      <c r="FL22" s="114">
        <v>28</v>
      </c>
      <c r="FM22" s="114">
        <v>28</v>
      </c>
      <c r="FN22" s="115">
        <v>28</v>
      </c>
      <c r="FO22" s="110">
        <v>29</v>
      </c>
      <c r="FP22" s="114">
        <v>29</v>
      </c>
      <c r="FQ22" s="114">
        <v>29</v>
      </c>
      <c r="FR22" s="114">
        <v>29</v>
      </c>
      <c r="FS22" s="114">
        <v>29</v>
      </c>
      <c r="FT22" s="115">
        <v>29</v>
      </c>
      <c r="FU22" s="110">
        <v>30</v>
      </c>
      <c r="FV22" s="114">
        <v>30</v>
      </c>
      <c r="FW22" s="114">
        <v>30</v>
      </c>
      <c r="FX22" s="114">
        <v>30</v>
      </c>
      <c r="FY22" s="114">
        <v>30</v>
      </c>
      <c r="FZ22" s="115">
        <v>30</v>
      </c>
      <c r="GA22" s="110">
        <v>31</v>
      </c>
      <c r="GB22" s="114">
        <v>31</v>
      </c>
      <c r="GC22" s="114">
        <v>31</v>
      </c>
      <c r="GD22" s="114">
        <v>31</v>
      </c>
      <c r="GE22" s="114">
        <v>31</v>
      </c>
      <c r="GF22" s="115">
        <v>31</v>
      </c>
      <c r="GG22" s="110">
        <v>32</v>
      </c>
      <c r="GH22" s="114">
        <v>32</v>
      </c>
      <c r="GI22" s="114">
        <v>32</v>
      </c>
      <c r="GJ22" s="114">
        <v>32</v>
      </c>
      <c r="GK22" s="114">
        <v>32</v>
      </c>
      <c r="GL22" s="115">
        <v>32</v>
      </c>
      <c r="GM22" s="110">
        <v>33</v>
      </c>
      <c r="GN22" s="114">
        <v>33</v>
      </c>
      <c r="GO22" s="114">
        <v>33</v>
      </c>
      <c r="GP22" s="114">
        <v>33</v>
      </c>
      <c r="GQ22" s="114">
        <v>33</v>
      </c>
      <c r="GR22" s="115">
        <v>33</v>
      </c>
      <c r="GS22" s="110">
        <v>34</v>
      </c>
      <c r="GT22" s="114">
        <v>34</v>
      </c>
      <c r="GU22" s="114">
        <v>34</v>
      </c>
      <c r="GV22" s="114">
        <v>34</v>
      </c>
      <c r="GW22" s="114">
        <v>34</v>
      </c>
      <c r="GX22" s="115">
        <v>34</v>
      </c>
      <c r="GY22" s="110">
        <v>35</v>
      </c>
      <c r="GZ22" s="114">
        <v>35</v>
      </c>
      <c r="HA22" s="114">
        <v>35</v>
      </c>
      <c r="HB22" s="114">
        <v>35</v>
      </c>
      <c r="HC22" s="114">
        <v>35</v>
      </c>
      <c r="HD22" s="115">
        <v>35</v>
      </c>
      <c r="HE22" s="110">
        <v>36</v>
      </c>
      <c r="HF22" s="114">
        <v>36</v>
      </c>
      <c r="HG22" s="114">
        <v>36</v>
      </c>
      <c r="HH22" s="114">
        <v>36</v>
      </c>
      <c r="HI22" s="114">
        <v>36</v>
      </c>
      <c r="HJ22" s="115">
        <v>36</v>
      </c>
      <c r="HK22" s="110">
        <v>37</v>
      </c>
      <c r="HL22" s="114">
        <v>37</v>
      </c>
      <c r="HM22" s="114">
        <v>37</v>
      </c>
      <c r="HN22" s="114">
        <v>37</v>
      </c>
      <c r="HO22" s="114">
        <v>37</v>
      </c>
      <c r="HP22" s="115">
        <v>37</v>
      </c>
      <c r="HQ22" s="110">
        <v>38</v>
      </c>
      <c r="HR22" s="114">
        <v>38</v>
      </c>
      <c r="HS22" s="114">
        <v>38</v>
      </c>
      <c r="HT22" s="114">
        <v>38</v>
      </c>
      <c r="HU22" s="114">
        <v>38</v>
      </c>
      <c r="HV22" s="115">
        <v>38</v>
      </c>
      <c r="HW22" s="110">
        <v>39</v>
      </c>
      <c r="HX22" s="114">
        <v>39</v>
      </c>
      <c r="HY22" s="114">
        <v>39</v>
      </c>
      <c r="HZ22" s="114">
        <v>39</v>
      </c>
      <c r="IA22" s="114">
        <v>39</v>
      </c>
      <c r="IB22" s="115">
        <v>39</v>
      </c>
      <c r="IC22" s="110">
        <v>40</v>
      </c>
      <c r="ID22" s="114">
        <v>40</v>
      </c>
      <c r="IE22" s="114">
        <v>40</v>
      </c>
      <c r="IF22" s="114">
        <v>40</v>
      </c>
      <c r="IG22" s="114">
        <v>40</v>
      </c>
      <c r="IH22" s="115">
        <v>40</v>
      </c>
      <c r="II22" s="110">
        <v>41</v>
      </c>
      <c r="IJ22" s="114">
        <v>41</v>
      </c>
      <c r="IK22" s="114">
        <v>41</v>
      </c>
      <c r="IL22" s="114">
        <v>41</v>
      </c>
      <c r="IM22" s="114">
        <v>41</v>
      </c>
      <c r="IN22" s="115">
        <v>41</v>
      </c>
      <c r="IO22" s="110">
        <v>42</v>
      </c>
      <c r="IP22" s="114">
        <v>42</v>
      </c>
      <c r="IQ22" s="114">
        <v>42</v>
      </c>
      <c r="IR22" s="114">
        <v>42</v>
      </c>
      <c r="IS22" s="114">
        <v>42</v>
      </c>
      <c r="IT22" s="115">
        <v>42</v>
      </c>
    </row>
    <row r="23" spans="1:255" ht="13.5" thickBot="1" x14ac:dyDescent="0.2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I23" s="6"/>
      <c r="AL23" s="6"/>
      <c r="AM23" s="6"/>
      <c r="AN23" s="6"/>
      <c r="AO23" s="6"/>
      <c r="AP23" s="6"/>
      <c r="AQ23" s="6"/>
      <c r="AR23" s="6"/>
      <c r="AS23" s="6"/>
      <c r="AT23" s="6"/>
    </row>
    <row r="24" spans="1:255" ht="13.5" thickBot="1" x14ac:dyDescent="0.25">
      <c r="A24" s="53" t="s">
        <v>65</v>
      </c>
      <c r="B24" s="54" t="s">
        <v>64</v>
      </c>
      <c r="C24" s="6"/>
      <c r="D24" s="12"/>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I24" s="6"/>
      <c r="AL24" s="6"/>
      <c r="AM24" s="6"/>
      <c r="AN24" s="6"/>
      <c r="AO24" s="6"/>
      <c r="AP24" s="6"/>
      <c r="AQ24" s="6"/>
      <c r="AR24" s="6"/>
      <c r="AS24" s="6"/>
      <c r="AT24" s="6"/>
    </row>
    <row r="25" spans="1:255" x14ac:dyDescent="0.2">
      <c r="A25" s="131">
        <v>1</v>
      </c>
      <c r="B25" s="131" t="s">
        <v>62</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I25" s="6"/>
      <c r="AL25" s="6"/>
      <c r="AM25" s="6"/>
      <c r="AN25" s="6"/>
      <c r="AO25" s="6"/>
      <c r="AP25" s="6"/>
      <c r="AQ25" s="6"/>
      <c r="AR25" s="6"/>
      <c r="AS25" s="6"/>
      <c r="AT25" s="6"/>
    </row>
    <row r="26" spans="1:255" x14ac:dyDescent="0.2">
      <c r="A26" s="55">
        <v>2</v>
      </c>
      <c r="B26" s="55" t="s">
        <v>55</v>
      </c>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I26" s="6"/>
      <c r="AL26" s="6"/>
      <c r="AM26" s="6"/>
      <c r="AN26" s="6"/>
      <c r="AO26" s="6"/>
      <c r="AP26" s="6"/>
      <c r="AQ26" s="6"/>
      <c r="AR26" s="6"/>
      <c r="AS26" s="6"/>
      <c r="AT26" s="6"/>
    </row>
    <row r="27" spans="1:255" x14ac:dyDescent="0.2">
      <c r="A27" s="55">
        <v>3</v>
      </c>
      <c r="B27" s="55" t="s">
        <v>63</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I27" s="6"/>
      <c r="AL27" s="6"/>
      <c r="AM27" s="6"/>
      <c r="AN27" s="6"/>
      <c r="AO27" s="6"/>
      <c r="AP27" s="6"/>
      <c r="AQ27" s="6"/>
      <c r="AR27" s="6"/>
      <c r="AS27" s="6"/>
      <c r="AT27" s="6"/>
    </row>
    <row r="28" spans="1:255" x14ac:dyDescent="0.2">
      <c r="A28" s="55">
        <v>4</v>
      </c>
      <c r="B28" s="56" t="s">
        <v>66</v>
      </c>
      <c r="C28" s="12"/>
      <c r="D28" s="12"/>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I28" s="6"/>
      <c r="AL28" s="6"/>
      <c r="AM28" s="6"/>
      <c r="AN28" s="6"/>
      <c r="AO28" s="6"/>
      <c r="AP28" s="6"/>
      <c r="AQ28" s="6"/>
      <c r="AR28" s="6"/>
      <c r="AS28" s="6"/>
      <c r="AT28" s="6"/>
    </row>
    <row r="29" spans="1:255" x14ac:dyDescent="0.2">
      <c r="A29" s="55">
        <v>5</v>
      </c>
      <c r="B29" s="56" t="s">
        <v>67</v>
      </c>
      <c r="C29" s="12"/>
      <c r="D29" s="12"/>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I29" s="6"/>
      <c r="AL29" s="6"/>
      <c r="AM29" s="6"/>
      <c r="AN29" s="6"/>
      <c r="AO29" s="6"/>
      <c r="AP29" s="6"/>
      <c r="AQ29" s="6"/>
      <c r="AR29" s="6"/>
      <c r="AS29" s="6"/>
      <c r="AT29" s="6"/>
    </row>
    <row r="30" spans="1:255" ht="13.5" thickBot="1" x14ac:dyDescent="0.25">
      <c r="A30" s="157">
        <v>6</v>
      </c>
      <c r="B30" s="132" t="s">
        <v>68</v>
      </c>
      <c r="C30" s="12"/>
      <c r="D30" s="12"/>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I30" s="6"/>
      <c r="AL30" s="6"/>
      <c r="AM30" s="6"/>
      <c r="AN30" s="6"/>
      <c r="AO30" s="6"/>
      <c r="AP30" s="6"/>
      <c r="AQ30" s="6"/>
      <c r="AR30" s="6"/>
      <c r="AS30" s="6"/>
      <c r="AT30" s="6"/>
    </row>
    <row r="31" spans="1:255" x14ac:dyDescent="0.2">
      <c r="A31" s="56">
        <v>0</v>
      </c>
      <c r="B31" s="56" t="s">
        <v>470</v>
      </c>
      <c r="C31" s="12"/>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I31" s="6"/>
      <c r="AL31" s="6"/>
      <c r="AM31" s="6"/>
      <c r="AN31" s="6"/>
      <c r="AO31" s="6"/>
      <c r="AP31" s="6"/>
      <c r="AQ31" s="6"/>
      <c r="AR31" s="6"/>
      <c r="AS31" s="6"/>
      <c r="AT31" s="6"/>
    </row>
    <row r="32" spans="1:255" x14ac:dyDescent="0.2">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I32" s="6"/>
      <c r="AL32" s="6"/>
      <c r="AM32" s="6"/>
      <c r="AN32" s="6"/>
      <c r="AO32" s="6"/>
      <c r="AP32" s="6"/>
      <c r="AQ32" s="6"/>
      <c r="AR32" s="6"/>
      <c r="AS32" s="6"/>
      <c r="AT32" s="6"/>
    </row>
    <row r="33" spans="1:130" x14ac:dyDescent="0.2">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I33" s="6"/>
      <c r="AL33" s="6"/>
      <c r="AM33" s="6"/>
      <c r="AN33" s="6"/>
      <c r="AO33" s="6"/>
      <c r="AP33" s="6"/>
      <c r="AQ33" s="6"/>
      <c r="AR33" s="6"/>
      <c r="AS33" s="6"/>
      <c r="AT33" s="6"/>
      <c r="DY33" s="144"/>
      <c r="DZ33" s="144"/>
    </row>
    <row r="34" spans="1:130" x14ac:dyDescent="0.2">
      <c r="C34" s="608" t="s">
        <v>440</v>
      </c>
      <c r="D34" s="609"/>
      <c r="E34" s="609"/>
      <c r="F34" s="609"/>
      <c r="G34" s="609"/>
      <c r="H34" s="615"/>
      <c r="I34" s="6"/>
      <c r="J34" s="6"/>
      <c r="K34" s="6"/>
      <c r="L34" s="6"/>
      <c r="M34" s="6"/>
      <c r="N34" s="6"/>
      <c r="O34" s="6"/>
      <c r="P34" s="6"/>
      <c r="Q34" s="6"/>
      <c r="R34" s="6"/>
      <c r="S34" s="6"/>
      <c r="T34" s="6"/>
      <c r="U34" s="6"/>
      <c r="V34" s="6"/>
      <c r="W34" s="6"/>
      <c r="X34" s="6"/>
      <c r="Y34" s="6"/>
      <c r="Z34" s="6"/>
      <c r="AA34" s="6"/>
      <c r="AB34" s="6"/>
      <c r="AC34" s="6"/>
      <c r="AD34" s="6"/>
      <c r="AE34" s="6"/>
      <c r="AF34" s="6"/>
      <c r="AG34" s="6"/>
      <c r="AI34" s="6"/>
      <c r="AL34" s="6"/>
      <c r="AM34" s="6"/>
      <c r="AN34" s="6"/>
      <c r="AO34" s="6"/>
      <c r="AP34" s="6"/>
      <c r="AQ34" s="6"/>
      <c r="AR34" s="6"/>
      <c r="AS34" s="6"/>
      <c r="AT34" s="6"/>
    </row>
    <row r="35" spans="1:130" x14ac:dyDescent="0.2">
      <c r="A35" t="s">
        <v>473</v>
      </c>
      <c r="C35" s="169" t="s">
        <v>449</v>
      </c>
      <c r="D35" s="169" t="s">
        <v>450</v>
      </c>
      <c r="E35" s="169" t="s">
        <v>451</v>
      </c>
      <c r="F35" s="170" t="s">
        <v>452</v>
      </c>
      <c r="G35" s="170" t="s">
        <v>453</v>
      </c>
      <c r="H35" s="171" t="s">
        <v>454</v>
      </c>
      <c r="I35" s="126">
        <v>0</v>
      </c>
      <c r="J35" s="6"/>
      <c r="K35" s="6"/>
      <c r="L35" s="6"/>
      <c r="M35" s="6"/>
      <c r="N35" s="6"/>
      <c r="O35" s="6"/>
      <c r="P35" s="6"/>
      <c r="Q35" s="6"/>
      <c r="R35" s="6"/>
      <c r="S35" s="6"/>
      <c r="T35" s="6"/>
      <c r="U35" s="6"/>
      <c r="V35" s="6"/>
      <c r="W35" s="6"/>
      <c r="X35" s="6"/>
      <c r="Y35" s="6"/>
      <c r="Z35" s="6"/>
      <c r="AA35" s="6"/>
      <c r="AB35" s="6"/>
      <c r="AC35" s="6"/>
      <c r="AD35" s="6"/>
      <c r="AE35" s="6"/>
      <c r="AF35" s="6"/>
      <c r="AG35" s="6"/>
      <c r="AI35" s="6"/>
      <c r="AL35" s="6"/>
      <c r="AM35" s="6"/>
      <c r="AN35" s="6"/>
      <c r="AO35" s="6"/>
      <c r="AP35" s="6"/>
      <c r="AQ35" s="6"/>
      <c r="AR35" s="6"/>
      <c r="AS35" s="6"/>
      <c r="AT35" s="6"/>
    </row>
    <row r="36" spans="1:130" x14ac:dyDescent="0.2">
      <c r="A36" s="144"/>
      <c r="B36" s="25" t="s">
        <v>437</v>
      </c>
      <c r="C36" s="146" t="s">
        <v>66</v>
      </c>
      <c r="D36" s="146" t="s">
        <v>68</v>
      </c>
      <c r="E36" s="148" t="s">
        <v>438</v>
      </c>
      <c r="F36" s="148" t="s">
        <v>66</v>
      </c>
      <c r="G36" s="148" t="s">
        <v>68</v>
      </c>
      <c r="H36" s="148" t="s">
        <v>438</v>
      </c>
      <c r="I36" s="149" t="s">
        <v>470</v>
      </c>
      <c r="J36" s="22"/>
      <c r="K36" s="22"/>
      <c r="L36" s="22"/>
      <c r="M36" s="6"/>
      <c r="N36" s="6"/>
      <c r="O36" s="6"/>
      <c r="P36" s="6"/>
      <c r="Q36" s="6"/>
      <c r="R36" s="6"/>
      <c r="S36" s="6"/>
      <c r="T36" s="6"/>
      <c r="U36" s="6"/>
      <c r="V36" s="6"/>
      <c r="W36" s="6"/>
      <c r="X36" s="6"/>
      <c r="Y36" s="6"/>
      <c r="Z36" s="6"/>
      <c r="AA36" s="6"/>
      <c r="AB36" s="6"/>
      <c r="AC36" s="6"/>
      <c r="AD36" s="6"/>
      <c r="AE36" s="6"/>
      <c r="AF36" s="6"/>
      <c r="AG36" s="6"/>
      <c r="AI36" s="6"/>
      <c r="AL36" s="6"/>
      <c r="AM36" s="6"/>
      <c r="AN36" s="6"/>
      <c r="AO36" s="6"/>
      <c r="AP36" s="6"/>
      <c r="AQ36" s="6"/>
      <c r="AR36" s="6"/>
      <c r="AS36" s="6"/>
      <c r="AT36" s="6"/>
    </row>
    <row r="37" spans="1:130" x14ac:dyDescent="0.2">
      <c r="A37">
        <v>1</v>
      </c>
      <c r="B37" s="25">
        <v>0.5</v>
      </c>
      <c r="C37" s="31">
        <v>6</v>
      </c>
      <c r="D37" s="31">
        <v>9</v>
      </c>
      <c r="E37" s="126">
        <v>12</v>
      </c>
      <c r="F37" s="126">
        <v>45</v>
      </c>
      <c r="G37" s="32">
        <v>66</v>
      </c>
      <c r="H37" s="32">
        <v>90</v>
      </c>
      <c r="I37" s="149">
        <v>0</v>
      </c>
      <c r="M37" s="6"/>
      <c r="N37" s="6"/>
      <c r="O37" s="6"/>
      <c r="P37" s="6"/>
      <c r="Q37" s="6"/>
      <c r="R37" s="6"/>
      <c r="S37" s="6"/>
      <c r="T37" s="6"/>
      <c r="U37" s="6"/>
      <c r="V37" s="6"/>
      <c r="W37" s="6"/>
      <c r="X37" s="6"/>
      <c r="Y37" s="6"/>
      <c r="Z37" s="6"/>
      <c r="AA37" s="6"/>
      <c r="AB37" s="6"/>
      <c r="AC37" s="6"/>
      <c r="AD37" s="6"/>
      <c r="AE37" s="6"/>
      <c r="AF37" s="6"/>
      <c r="AG37" s="6"/>
      <c r="AI37" s="12"/>
      <c r="AL37" s="6"/>
      <c r="AM37" s="6"/>
      <c r="AN37" s="6"/>
      <c r="AO37" s="6"/>
      <c r="AP37" s="6"/>
      <c r="AQ37" s="6"/>
      <c r="AR37" s="6"/>
      <c r="AS37" s="6"/>
      <c r="AT37" s="6"/>
    </row>
    <row r="38" spans="1:130" s="6" customFormat="1" x14ac:dyDescent="0.2">
      <c r="A38">
        <v>2</v>
      </c>
      <c r="B38" s="25">
        <v>5</v>
      </c>
      <c r="C38" s="1">
        <v>4</v>
      </c>
      <c r="D38" s="1">
        <v>6</v>
      </c>
      <c r="E38" s="149">
        <v>8</v>
      </c>
      <c r="F38" s="149">
        <v>30</v>
      </c>
      <c r="G38" s="2">
        <v>44</v>
      </c>
      <c r="H38" s="2">
        <v>60</v>
      </c>
      <c r="I38" s="192">
        <v>0</v>
      </c>
      <c r="AJ38"/>
    </row>
    <row r="39" spans="1:130" x14ac:dyDescent="0.2">
      <c r="A39">
        <v>3</v>
      </c>
      <c r="B39" s="25">
        <v>10</v>
      </c>
      <c r="C39" s="1">
        <v>3</v>
      </c>
      <c r="D39" s="1">
        <v>4</v>
      </c>
      <c r="E39" s="149">
        <v>6</v>
      </c>
      <c r="F39" s="149">
        <v>22</v>
      </c>
      <c r="G39" s="2">
        <v>33</v>
      </c>
      <c r="H39" s="2">
        <v>45</v>
      </c>
      <c r="I39" s="149">
        <v>0</v>
      </c>
      <c r="M39" s="6"/>
      <c r="N39" s="6"/>
      <c r="O39" s="6"/>
      <c r="P39" s="6"/>
      <c r="Q39" s="6"/>
      <c r="R39" s="6"/>
      <c r="S39" s="6"/>
      <c r="T39" s="6"/>
      <c r="U39" s="6"/>
      <c r="V39" s="6"/>
      <c r="W39" s="6"/>
      <c r="X39" s="6"/>
      <c r="Y39" s="6"/>
      <c r="Z39" s="6"/>
      <c r="AA39" s="6"/>
      <c r="AB39" s="6"/>
      <c r="AC39" s="6"/>
      <c r="AD39" s="6"/>
      <c r="AE39" s="6"/>
      <c r="AF39" s="6"/>
      <c r="AG39" s="6"/>
      <c r="AL39" s="6"/>
      <c r="AM39" s="6"/>
      <c r="AN39" s="6"/>
      <c r="AO39" s="6"/>
      <c r="AP39" s="6"/>
      <c r="AQ39" s="6"/>
      <c r="AR39" s="6"/>
      <c r="AS39" s="6"/>
      <c r="AT39" s="6"/>
    </row>
    <row r="40" spans="1:130" x14ac:dyDescent="0.2">
      <c r="A40">
        <v>4</v>
      </c>
      <c r="B40" s="25">
        <v>15</v>
      </c>
      <c r="C40" s="1">
        <v>2</v>
      </c>
      <c r="D40" s="1">
        <v>3</v>
      </c>
      <c r="E40" s="149">
        <v>4</v>
      </c>
      <c r="F40" s="149">
        <v>15</v>
      </c>
      <c r="G40" s="2">
        <v>22</v>
      </c>
      <c r="H40" s="2">
        <v>30</v>
      </c>
      <c r="I40" s="149">
        <v>0</v>
      </c>
      <c r="M40" s="6"/>
      <c r="N40" s="6"/>
      <c r="O40" s="6"/>
      <c r="P40" s="6"/>
      <c r="Q40" s="6"/>
      <c r="R40" s="6"/>
      <c r="S40" s="6"/>
      <c r="T40" s="6"/>
      <c r="U40" s="6"/>
      <c r="V40" s="6"/>
      <c r="W40" s="6"/>
      <c r="X40" s="6"/>
      <c r="Y40" s="6"/>
      <c r="Z40" s="6"/>
      <c r="AA40" s="6"/>
      <c r="AB40" s="6"/>
      <c r="AC40" s="6"/>
      <c r="AD40" s="6"/>
      <c r="AE40" s="6"/>
      <c r="AF40" s="6"/>
      <c r="AG40" s="6"/>
      <c r="AI40" s="12"/>
      <c r="AL40" s="6"/>
      <c r="AM40" s="6"/>
      <c r="AN40" s="6"/>
      <c r="AO40" s="6"/>
      <c r="AP40" s="6"/>
      <c r="AQ40" s="6"/>
      <c r="AR40" s="6"/>
      <c r="AS40" s="6"/>
      <c r="AT40" s="6"/>
    </row>
    <row r="41" spans="1:130" x14ac:dyDescent="0.2">
      <c r="A41">
        <v>5</v>
      </c>
      <c r="B41" s="25">
        <v>20</v>
      </c>
      <c r="C41" s="1">
        <v>1</v>
      </c>
      <c r="D41" s="1">
        <v>2</v>
      </c>
      <c r="E41" s="149">
        <v>3</v>
      </c>
      <c r="F41" s="149">
        <v>11</v>
      </c>
      <c r="G41" s="2">
        <v>16</v>
      </c>
      <c r="H41" s="2">
        <v>22</v>
      </c>
      <c r="I41" s="149">
        <v>0</v>
      </c>
      <c r="M41" s="6"/>
      <c r="N41" s="6"/>
      <c r="O41" s="6"/>
      <c r="P41" s="6"/>
      <c r="Q41" s="6"/>
      <c r="R41" s="6"/>
      <c r="S41" s="6"/>
      <c r="T41" s="6"/>
      <c r="U41" s="6"/>
      <c r="V41" s="6"/>
      <c r="W41" s="6"/>
      <c r="X41" s="6"/>
      <c r="Y41" s="6"/>
      <c r="Z41" s="6"/>
      <c r="AA41" s="6"/>
      <c r="AB41" s="6"/>
      <c r="AC41" s="6"/>
      <c r="AD41" s="6"/>
      <c r="AE41" s="6"/>
      <c r="AF41" s="6"/>
      <c r="AG41" s="6"/>
      <c r="AH41" s="12"/>
      <c r="AI41" s="6"/>
      <c r="AL41" s="6"/>
      <c r="AM41" s="6"/>
      <c r="AN41" s="6"/>
      <c r="AO41" s="6"/>
      <c r="AP41" s="6"/>
      <c r="AQ41" s="6"/>
      <c r="AR41" s="6"/>
      <c r="AS41" s="6"/>
      <c r="AT41" s="6"/>
    </row>
    <row r="42" spans="1:130" x14ac:dyDescent="0.2">
      <c r="A42">
        <v>6</v>
      </c>
      <c r="B42" s="25">
        <v>25</v>
      </c>
      <c r="C42" s="33">
        <v>1</v>
      </c>
      <c r="D42" s="33">
        <v>1</v>
      </c>
      <c r="E42" s="150">
        <v>2</v>
      </c>
      <c r="F42" s="150">
        <v>7</v>
      </c>
      <c r="G42" s="34">
        <v>11</v>
      </c>
      <c r="H42" s="34">
        <v>15</v>
      </c>
      <c r="I42" s="150">
        <v>0</v>
      </c>
      <c r="M42" s="6"/>
      <c r="N42" s="6"/>
      <c r="O42" s="6"/>
      <c r="P42" s="6"/>
      <c r="Q42" s="6"/>
      <c r="R42" s="6"/>
      <c r="S42" s="6"/>
      <c r="T42" s="6"/>
      <c r="U42" s="6"/>
      <c r="V42" s="6"/>
      <c r="W42" s="6"/>
      <c r="X42" s="6"/>
      <c r="Y42" s="6"/>
      <c r="Z42" s="6"/>
      <c r="AA42" s="6"/>
      <c r="AB42" s="6"/>
      <c r="AC42" s="6"/>
      <c r="AD42" s="6"/>
      <c r="AE42" s="6"/>
      <c r="AF42" s="6"/>
      <c r="AG42" s="6"/>
      <c r="AH42" s="6"/>
      <c r="AI42" s="6"/>
      <c r="AL42" s="6"/>
      <c r="AM42" s="6"/>
      <c r="AN42" s="6"/>
      <c r="AO42" s="6"/>
      <c r="AP42" s="6"/>
      <c r="AQ42" s="6"/>
      <c r="AR42" s="6"/>
      <c r="AS42" s="6"/>
      <c r="AT42" s="6"/>
    </row>
    <row r="43" spans="1:130" x14ac:dyDescent="0.2">
      <c r="C43" s="603" t="s">
        <v>444</v>
      </c>
      <c r="D43" s="603"/>
      <c r="E43" s="603"/>
      <c r="F43" s="587" t="s">
        <v>445</v>
      </c>
      <c r="G43" s="603"/>
      <c r="H43" s="603"/>
      <c r="I43" s="147"/>
      <c r="J43" s="6"/>
      <c r="K43" s="6"/>
      <c r="L43" s="6"/>
      <c r="M43" s="6"/>
      <c r="N43" s="6"/>
      <c r="O43" s="6"/>
      <c r="P43" s="6"/>
      <c r="Q43" s="6"/>
      <c r="R43" s="6"/>
      <c r="S43" s="6"/>
      <c r="T43" s="6"/>
      <c r="U43" s="6"/>
      <c r="V43" s="6"/>
      <c r="W43" s="6"/>
      <c r="X43" s="6"/>
      <c r="Y43" s="6"/>
      <c r="Z43" s="6"/>
      <c r="AA43" s="6"/>
      <c r="AB43" s="6"/>
      <c r="AC43" s="6"/>
      <c r="AD43" s="6"/>
      <c r="AE43" s="6"/>
      <c r="AF43" s="6"/>
      <c r="AG43" s="6"/>
      <c r="AH43" s="6"/>
      <c r="AI43" s="6"/>
      <c r="AL43" s="6"/>
      <c r="AM43" s="6"/>
      <c r="AN43" s="6"/>
      <c r="AO43" s="6"/>
      <c r="AP43" s="6"/>
      <c r="AQ43" s="6"/>
      <c r="AR43" s="6"/>
      <c r="AS43" s="6"/>
      <c r="AT43" s="6"/>
    </row>
    <row r="44" spans="1:130" x14ac:dyDescent="0.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L44" s="6"/>
      <c r="AM44" s="6"/>
      <c r="AN44" s="6"/>
      <c r="AO44" s="6"/>
      <c r="AP44" s="6"/>
      <c r="AQ44" s="6"/>
      <c r="AR44" s="6"/>
      <c r="AS44" s="6"/>
      <c r="AT44" s="6"/>
    </row>
    <row r="45" spans="1:130" ht="13.5" thickBot="1" x14ac:dyDescent="0.25">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L45" s="6"/>
      <c r="AM45" s="6"/>
      <c r="AN45" s="6"/>
      <c r="AO45" s="6"/>
      <c r="AP45" s="6"/>
      <c r="AQ45" s="6"/>
      <c r="AR45" s="6"/>
      <c r="AS45" s="6"/>
      <c r="AT45" s="6"/>
    </row>
    <row r="46" spans="1:130" x14ac:dyDescent="0.2">
      <c r="A46" s="27"/>
      <c r="B46" s="204"/>
      <c r="C46" s="4"/>
      <c r="D46" s="4"/>
      <c r="E46" s="4"/>
      <c r="F46" s="4"/>
      <c r="G46" s="4"/>
      <c r="H46" s="4"/>
      <c r="I46" s="4"/>
      <c r="J46" s="5"/>
      <c r="K46" s="6"/>
      <c r="L46" s="6"/>
      <c r="M46" s="6"/>
      <c r="N46" s="6"/>
      <c r="O46" s="6"/>
      <c r="P46" s="6"/>
      <c r="Q46" s="6"/>
      <c r="R46" s="6"/>
      <c r="S46" s="6"/>
      <c r="T46" s="6"/>
      <c r="U46" s="6"/>
      <c r="V46" s="6"/>
      <c r="W46" s="6"/>
      <c r="X46" s="6"/>
      <c r="Y46" s="6"/>
      <c r="Z46" s="6"/>
      <c r="AA46" s="6"/>
      <c r="AB46" s="6"/>
      <c r="AC46" s="6"/>
      <c r="AD46" s="6"/>
      <c r="AE46" s="6"/>
      <c r="AF46" s="6"/>
      <c r="AG46" s="6"/>
      <c r="AH46" s="6"/>
      <c r="AI46" s="6"/>
      <c r="AL46" s="6"/>
      <c r="AM46" s="6"/>
      <c r="AN46" s="6"/>
      <c r="AO46" s="6"/>
      <c r="AP46" s="6"/>
      <c r="AQ46" s="6"/>
      <c r="AR46" s="6"/>
      <c r="AS46" s="6"/>
      <c r="AT46" s="6"/>
    </row>
    <row r="47" spans="1:130" x14ac:dyDescent="0.2">
      <c r="A47" s="28"/>
      <c r="B47" s="6"/>
      <c r="C47" s="608" t="s">
        <v>476</v>
      </c>
      <c r="D47" s="609"/>
      <c r="E47" s="609"/>
      <c r="F47" s="609"/>
      <c r="G47" s="609"/>
      <c r="H47" s="609"/>
      <c r="I47" s="615"/>
      <c r="J47" s="7"/>
      <c r="K47" s="6"/>
      <c r="L47" s="6"/>
      <c r="M47" s="6"/>
      <c r="N47" s="6"/>
      <c r="O47" s="6"/>
      <c r="P47" s="6"/>
      <c r="Q47" s="6"/>
      <c r="R47" s="6"/>
      <c r="S47" s="6"/>
      <c r="T47" s="6"/>
      <c r="U47" s="6"/>
      <c r="V47" s="6"/>
      <c r="W47" s="6"/>
      <c r="X47" s="6"/>
      <c r="Y47" s="6"/>
      <c r="Z47" s="6"/>
      <c r="AA47" s="6"/>
      <c r="AB47" s="6"/>
      <c r="AC47" s="6"/>
      <c r="AD47" s="6"/>
      <c r="AE47" s="6"/>
      <c r="AF47" s="6"/>
      <c r="AG47" s="6"/>
      <c r="AH47" s="6"/>
      <c r="AI47" s="6"/>
      <c r="AL47" s="6"/>
      <c r="AM47" s="6"/>
      <c r="AN47" s="6"/>
      <c r="AO47" s="6"/>
      <c r="AP47" s="6"/>
      <c r="AQ47" s="6"/>
      <c r="AR47" s="6"/>
      <c r="AS47" s="6"/>
      <c r="AT47" s="6"/>
    </row>
    <row r="48" spans="1:130" x14ac:dyDescent="0.2">
      <c r="A48" s="28" t="s">
        <v>474</v>
      </c>
      <c r="B48" s="6"/>
      <c r="C48" s="213">
        <v>1</v>
      </c>
      <c r="D48" s="213">
        <v>2</v>
      </c>
      <c r="E48" s="213">
        <v>3</v>
      </c>
      <c r="F48" s="214">
        <v>4</v>
      </c>
      <c r="G48" s="214">
        <v>5</v>
      </c>
      <c r="H48" s="215">
        <v>6</v>
      </c>
      <c r="I48" s="216">
        <v>0</v>
      </c>
      <c r="J48" s="7"/>
      <c r="K48" s="6"/>
      <c r="L48" s="6"/>
      <c r="M48" s="6"/>
      <c r="N48" s="6"/>
      <c r="O48" s="6"/>
      <c r="P48" s="6"/>
      <c r="Q48" s="6"/>
      <c r="R48" s="6"/>
      <c r="S48" s="6"/>
      <c r="T48" s="6"/>
      <c r="U48" s="6"/>
      <c r="V48" s="6"/>
      <c r="W48" s="6"/>
      <c r="X48" s="6"/>
      <c r="Y48" s="6"/>
      <c r="Z48" s="6"/>
      <c r="AA48" s="6"/>
      <c r="AB48" s="6"/>
      <c r="AC48" s="6"/>
      <c r="AD48" s="6"/>
      <c r="AE48" s="6"/>
      <c r="AF48" s="6"/>
      <c r="AG48" s="6"/>
      <c r="AH48" s="6"/>
      <c r="AI48" s="6"/>
      <c r="AL48" s="6"/>
      <c r="AM48" s="6"/>
      <c r="AN48" s="6"/>
      <c r="AO48" s="6"/>
      <c r="AP48" s="6"/>
      <c r="AQ48" s="6"/>
      <c r="AR48" s="6"/>
      <c r="AS48" s="6"/>
      <c r="AT48" s="6"/>
    </row>
    <row r="49" spans="1:46" x14ac:dyDescent="0.2">
      <c r="A49" s="205"/>
      <c r="B49" s="25" t="s">
        <v>437</v>
      </c>
      <c r="C49" s="199" t="s">
        <v>475</v>
      </c>
      <c r="D49" s="49" t="s">
        <v>55</v>
      </c>
      <c r="E49" s="198" t="s">
        <v>63</v>
      </c>
      <c r="F49" s="145" t="s">
        <v>66</v>
      </c>
      <c r="G49" s="198" t="s">
        <v>67</v>
      </c>
      <c r="H49" s="145" t="s">
        <v>68</v>
      </c>
      <c r="I49" s="149" t="s">
        <v>470</v>
      </c>
      <c r="J49" s="7"/>
      <c r="K49" s="6"/>
      <c r="L49" s="6"/>
      <c r="M49" s="6"/>
      <c r="N49" s="6"/>
      <c r="O49" s="6"/>
      <c r="P49" s="6"/>
      <c r="Q49" s="6"/>
      <c r="R49" s="6"/>
      <c r="S49" s="6"/>
      <c r="T49" s="6"/>
      <c r="U49" s="6"/>
      <c r="V49" s="6"/>
      <c r="W49" s="6"/>
      <c r="X49" s="6"/>
      <c r="Y49" s="6"/>
      <c r="Z49" s="6"/>
      <c r="AA49" s="6"/>
      <c r="AB49" s="6"/>
      <c r="AC49" s="6"/>
      <c r="AD49" s="6"/>
      <c r="AE49" s="6"/>
      <c r="AF49" s="6"/>
      <c r="AG49" s="6"/>
      <c r="AH49" s="6"/>
      <c r="AI49" s="6"/>
      <c r="AL49" s="6"/>
      <c r="AM49" s="6"/>
      <c r="AN49" s="6"/>
      <c r="AO49" s="6"/>
      <c r="AP49" s="6"/>
      <c r="AQ49" s="6"/>
      <c r="AR49" s="6"/>
      <c r="AS49" s="6"/>
      <c r="AT49" s="6"/>
    </row>
    <row r="50" spans="1:46" x14ac:dyDescent="0.2">
      <c r="A50" s="28">
        <v>1</v>
      </c>
      <c r="B50" s="25">
        <v>1</v>
      </c>
      <c r="C50" s="31">
        <v>10</v>
      </c>
      <c r="D50" s="31">
        <v>21</v>
      </c>
      <c r="E50" s="126">
        <v>32</v>
      </c>
      <c r="F50" s="126">
        <v>42</v>
      </c>
      <c r="G50" s="32">
        <v>52</v>
      </c>
      <c r="H50" s="32">
        <v>63</v>
      </c>
      <c r="I50" s="149">
        <v>0</v>
      </c>
      <c r="J50" s="7"/>
      <c r="K50" s="6"/>
      <c r="L50" s="6"/>
      <c r="M50" s="6"/>
      <c r="N50" s="6"/>
      <c r="O50" s="6"/>
      <c r="P50" s="6"/>
      <c r="Q50" s="6"/>
      <c r="R50" s="6"/>
      <c r="S50" s="6"/>
      <c r="T50" s="6"/>
      <c r="U50" s="6"/>
      <c r="V50" s="6"/>
      <c r="W50" s="6"/>
      <c r="X50" s="6"/>
      <c r="Y50" s="6"/>
      <c r="Z50" s="6"/>
      <c r="AA50" s="6"/>
      <c r="AB50" s="6"/>
      <c r="AC50" s="6"/>
      <c r="AD50" s="6"/>
      <c r="AE50" s="6"/>
      <c r="AF50" s="6"/>
      <c r="AG50" s="6"/>
      <c r="AH50" s="6"/>
      <c r="AI50" s="6"/>
      <c r="AL50" s="6"/>
      <c r="AM50" s="6"/>
      <c r="AN50" s="6"/>
      <c r="AO50" s="6"/>
      <c r="AP50" s="6"/>
      <c r="AQ50" s="6"/>
      <c r="AR50" s="6"/>
      <c r="AS50" s="6"/>
      <c r="AT50" s="6"/>
    </row>
    <row r="51" spans="1:46" x14ac:dyDescent="0.2">
      <c r="A51" s="28">
        <v>2</v>
      </c>
      <c r="B51" s="25">
        <v>5</v>
      </c>
      <c r="C51" s="1">
        <v>4.3</v>
      </c>
      <c r="D51" s="1">
        <v>8.6999999999999993</v>
      </c>
      <c r="E51" s="149">
        <v>13</v>
      </c>
      <c r="F51" s="149">
        <v>17</v>
      </c>
      <c r="G51" s="2">
        <v>22</v>
      </c>
      <c r="H51" s="2">
        <v>26</v>
      </c>
      <c r="I51" s="192">
        <v>0</v>
      </c>
      <c r="J51" s="7"/>
      <c r="K51" s="6"/>
      <c r="L51" s="6"/>
      <c r="M51" s="6"/>
      <c r="N51" s="6"/>
      <c r="O51" s="6"/>
      <c r="P51" s="6"/>
      <c r="Q51" s="6"/>
      <c r="R51" s="6"/>
      <c r="S51" s="6"/>
      <c r="T51" s="6"/>
      <c r="U51" s="6"/>
      <c r="V51" s="6"/>
      <c r="W51" s="6"/>
      <c r="X51" s="6"/>
      <c r="Y51" s="6"/>
      <c r="Z51" s="6"/>
      <c r="AA51" s="6"/>
      <c r="AB51" s="6"/>
      <c r="AC51" s="6"/>
      <c r="AD51" s="6"/>
      <c r="AE51" s="6"/>
      <c r="AF51" s="6"/>
      <c r="AG51" s="6"/>
      <c r="AH51" s="6"/>
      <c r="AI51" s="6"/>
      <c r="AL51" s="6"/>
      <c r="AM51" s="6"/>
      <c r="AN51" s="6"/>
      <c r="AO51" s="6"/>
      <c r="AP51" s="6"/>
      <c r="AQ51" s="6"/>
      <c r="AR51" s="6"/>
      <c r="AS51" s="6"/>
      <c r="AT51" s="6"/>
    </row>
    <row r="52" spans="1:46" x14ac:dyDescent="0.2">
      <c r="A52" s="28">
        <v>3</v>
      </c>
      <c r="B52" s="25">
        <v>10</v>
      </c>
      <c r="C52" s="1">
        <v>4</v>
      </c>
      <c r="D52" s="1">
        <v>7.7</v>
      </c>
      <c r="E52" s="149">
        <v>12</v>
      </c>
      <c r="F52" s="149">
        <v>15</v>
      </c>
      <c r="G52" s="2">
        <v>19</v>
      </c>
      <c r="H52" s="2">
        <v>23</v>
      </c>
      <c r="I52" s="149">
        <v>0</v>
      </c>
      <c r="J52" s="7"/>
      <c r="K52" s="6"/>
      <c r="L52" s="6"/>
      <c r="M52" s="6"/>
      <c r="N52" s="6"/>
      <c r="O52" s="6"/>
      <c r="P52" s="6"/>
      <c r="Q52" s="6"/>
      <c r="R52" s="6"/>
      <c r="S52" s="6"/>
      <c r="T52" s="6"/>
      <c r="U52" s="6"/>
      <c r="V52" s="6"/>
      <c r="W52" s="6"/>
      <c r="X52" s="6"/>
      <c r="Y52" s="6"/>
      <c r="Z52" s="6"/>
      <c r="AA52" s="6"/>
      <c r="AB52" s="6"/>
      <c r="AC52" s="6"/>
      <c r="AD52" s="6"/>
      <c r="AE52" s="6"/>
      <c r="AF52" s="6"/>
      <c r="AG52" s="6"/>
      <c r="AH52" s="6"/>
      <c r="AI52" s="6"/>
      <c r="AL52" s="6"/>
      <c r="AM52" s="6"/>
      <c r="AN52" s="6"/>
      <c r="AO52" s="6"/>
      <c r="AP52" s="6"/>
      <c r="AQ52" s="6"/>
      <c r="AR52" s="6"/>
      <c r="AS52" s="6"/>
      <c r="AT52" s="6"/>
    </row>
    <row r="53" spans="1:46" x14ac:dyDescent="0.2">
      <c r="A53" s="28">
        <v>4</v>
      </c>
      <c r="B53" s="25">
        <v>15</v>
      </c>
      <c r="C53" s="1">
        <v>3.2</v>
      </c>
      <c r="D53" s="1">
        <v>6.3</v>
      </c>
      <c r="E53" s="149">
        <v>10</v>
      </c>
      <c r="F53" s="149">
        <v>13</v>
      </c>
      <c r="G53" s="2">
        <v>16</v>
      </c>
      <c r="H53" s="2">
        <v>19</v>
      </c>
      <c r="I53" s="149">
        <v>0</v>
      </c>
      <c r="J53" s="7"/>
      <c r="K53" s="6"/>
      <c r="L53" s="6"/>
      <c r="M53" s="6"/>
      <c r="N53" s="6"/>
      <c r="O53" s="6"/>
      <c r="P53" s="6"/>
      <c r="Q53" s="6"/>
      <c r="R53" s="6"/>
      <c r="S53" s="6"/>
      <c r="T53" s="6"/>
      <c r="U53" s="6"/>
      <c r="V53" s="6"/>
      <c r="W53" s="6"/>
      <c r="X53" s="6"/>
      <c r="Y53" s="6"/>
      <c r="Z53" s="6"/>
      <c r="AA53" s="6"/>
      <c r="AB53" s="6"/>
      <c r="AC53" s="6"/>
      <c r="AD53" s="6"/>
      <c r="AE53" s="6"/>
      <c r="AF53" s="6"/>
      <c r="AG53" s="6"/>
      <c r="AH53" s="6"/>
      <c r="AI53" s="6"/>
      <c r="AL53" s="6"/>
      <c r="AM53" s="6"/>
      <c r="AN53" s="6"/>
      <c r="AO53" s="6"/>
      <c r="AP53" s="6"/>
      <c r="AQ53" s="6"/>
      <c r="AR53" s="6"/>
      <c r="AS53" s="6"/>
      <c r="AT53" s="6"/>
    </row>
    <row r="54" spans="1:46" x14ac:dyDescent="0.2">
      <c r="A54" s="28">
        <v>5</v>
      </c>
      <c r="B54" s="25">
        <v>20</v>
      </c>
      <c r="C54" s="1">
        <v>2.5</v>
      </c>
      <c r="D54" s="1">
        <v>5</v>
      </c>
      <c r="E54" s="149">
        <v>7.5</v>
      </c>
      <c r="F54" s="149">
        <v>10</v>
      </c>
      <c r="G54" s="2">
        <v>13</v>
      </c>
      <c r="H54" s="2">
        <v>15</v>
      </c>
      <c r="I54" s="149">
        <v>0</v>
      </c>
      <c r="J54" s="7"/>
      <c r="K54" s="6"/>
      <c r="L54" s="6"/>
      <c r="M54" s="6"/>
      <c r="N54" s="6"/>
      <c r="O54" s="6"/>
      <c r="P54" s="6"/>
      <c r="Q54" s="6"/>
      <c r="R54" s="6"/>
      <c r="S54" s="6"/>
      <c r="T54" s="6"/>
      <c r="U54" s="6"/>
      <c r="V54" s="6"/>
      <c r="W54" s="6"/>
      <c r="X54" s="6"/>
      <c r="Y54" s="6"/>
      <c r="Z54" s="6"/>
      <c r="AA54" s="6"/>
      <c r="AB54" s="6"/>
      <c r="AC54" s="6"/>
      <c r="AD54" s="6"/>
      <c r="AE54" s="6"/>
      <c r="AF54" s="6"/>
      <c r="AG54" s="6"/>
      <c r="AH54" s="6"/>
      <c r="AI54" s="6"/>
      <c r="AL54" s="6"/>
      <c r="AM54" s="6"/>
      <c r="AN54" s="6"/>
      <c r="AO54" s="6"/>
      <c r="AP54" s="6"/>
      <c r="AQ54" s="6"/>
      <c r="AR54" s="6"/>
      <c r="AS54" s="6"/>
      <c r="AT54" s="6"/>
    </row>
    <row r="55" spans="1:46" x14ac:dyDescent="0.2">
      <c r="A55" s="28">
        <v>6</v>
      </c>
      <c r="B55" s="25">
        <v>25</v>
      </c>
      <c r="C55" s="33">
        <v>2</v>
      </c>
      <c r="D55" s="33">
        <v>3.7</v>
      </c>
      <c r="E55" s="150">
        <v>5.5</v>
      </c>
      <c r="F55" s="150">
        <v>7.3</v>
      </c>
      <c r="G55" s="34">
        <v>9</v>
      </c>
      <c r="H55" s="34">
        <v>11</v>
      </c>
      <c r="I55" s="150">
        <v>0</v>
      </c>
      <c r="J55" s="7"/>
      <c r="K55" s="6"/>
      <c r="L55" s="6"/>
      <c r="M55" s="6"/>
      <c r="N55" s="6"/>
      <c r="O55" s="6"/>
      <c r="P55" s="6"/>
      <c r="Q55" s="6"/>
      <c r="R55" s="6"/>
      <c r="S55" s="6"/>
      <c r="T55" s="6"/>
      <c r="U55" s="6"/>
      <c r="V55" s="6"/>
      <c r="W55" s="6"/>
      <c r="X55" s="6"/>
      <c r="Y55" s="6"/>
      <c r="Z55" s="6"/>
      <c r="AA55" s="6"/>
      <c r="AB55" s="6"/>
      <c r="AC55" s="6"/>
      <c r="AD55" s="6"/>
      <c r="AE55" s="6"/>
      <c r="AF55" s="6"/>
      <c r="AG55" s="6"/>
      <c r="AH55" s="6"/>
      <c r="AI55" s="6"/>
      <c r="AL55" s="6"/>
      <c r="AM55" s="6"/>
      <c r="AN55" s="6"/>
      <c r="AO55" s="6"/>
      <c r="AP55" s="6"/>
      <c r="AQ55" s="6"/>
      <c r="AR55" s="6"/>
      <c r="AS55" s="6"/>
      <c r="AT55" s="6"/>
    </row>
    <row r="56" spans="1:46" s="6" customFormat="1" x14ac:dyDescent="0.2">
      <c r="A56" s="28"/>
      <c r="B56" s="24"/>
      <c r="J56" s="7"/>
    </row>
    <row r="57" spans="1:46" x14ac:dyDescent="0.2">
      <c r="A57" s="28"/>
      <c r="B57" s="6"/>
      <c r="C57" s="608" t="s">
        <v>477</v>
      </c>
      <c r="D57" s="609"/>
      <c r="E57" s="609"/>
      <c r="F57" s="609"/>
      <c r="G57" s="609"/>
      <c r="H57" s="609"/>
      <c r="I57" s="615"/>
      <c r="J57" s="7"/>
      <c r="K57" s="6"/>
      <c r="L57" s="6"/>
      <c r="M57" s="6"/>
      <c r="N57" s="6"/>
      <c r="O57" s="6"/>
      <c r="P57" s="6"/>
      <c r="Q57" s="6"/>
      <c r="R57" s="6"/>
      <c r="S57" s="6"/>
      <c r="T57" s="6"/>
      <c r="U57" s="6"/>
      <c r="V57" s="6"/>
      <c r="W57" s="6"/>
      <c r="X57" s="6"/>
      <c r="Y57" s="6"/>
      <c r="Z57" s="6"/>
      <c r="AA57" s="6"/>
      <c r="AB57" s="6"/>
      <c r="AC57" s="6"/>
      <c r="AD57" s="6"/>
      <c r="AE57" s="6"/>
      <c r="AF57" s="6"/>
      <c r="AG57" s="6"/>
      <c r="AH57" s="6"/>
      <c r="AI57" s="6"/>
      <c r="AL57" s="6"/>
      <c r="AM57" s="6"/>
      <c r="AN57" s="6"/>
      <c r="AO57" s="6"/>
      <c r="AP57" s="6"/>
      <c r="AQ57" s="6"/>
      <c r="AR57" s="6"/>
      <c r="AS57" s="6"/>
      <c r="AT57" s="6"/>
    </row>
    <row r="58" spans="1:46" x14ac:dyDescent="0.2">
      <c r="A58" s="28" t="s">
        <v>473</v>
      </c>
      <c r="B58" s="6"/>
      <c r="C58" s="213">
        <v>1</v>
      </c>
      <c r="D58" s="213">
        <v>2</v>
      </c>
      <c r="E58" s="213">
        <v>3</v>
      </c>
      <c r="F58" s="216">
        <v>0</v>
      </c>
      <c r="G58" s="202"/>
      <c r="H58" s="202"/>
      <c r="I58" s="6"/>
      <c r="J58" s="7"/>
      <c r="K58" s="6"/>
      <c r="L58" s="6"/>
      <c r="M58" s="6"/>
      <c r="N58" s="6"/>
      <c r="O58" s="6"/>
      <c r="P58" s="6"/>
      <c r="Q58" s="6"/>
      <c r="R58" s="6"/>
      <c r="S58" s="6"/>
      <c r="T58" s="6"/>
      <c r="U58" s="6"/>
      <c r="V58" s="6"/>
      <c r="W58" s="6"/>
      <c r="X58" s="6"/>
      <c r="Y58" s="6"/>
      <c r="Z58" s="6"/>
      <c r="AA58" s="6"/>
      <c r="AB58" s="6"/>
      <c r="AC58" s="6"/>
      <c r="AD58" s="6"/>
      <c r="AE58" s="6"/>
      <c r="AF58" s="6"/>
      <c r="AG58" s="6"/>
      <c r="AH58" s="6"/>
      <c r="AI58" s="6"/>
      <c r="AL58" s="6"/>
      <c r="AM58" s="6"/>
      <c r="AN58" s="6"/>
      <c r="AO58" s="6"/>
      <c r="AP58" s="6"/>
      <c r="AQ58" s="6"/>
      <c r="AR58" s="6"/>
      <c r="AS58" s="6"/>
      <c r="AT58" s="6"/>
    </row>
    <row r="59" spans="1:46" x14ac:dyDescent="0.2">
      <c r="A59" s="205"/>
      <c r="B59" s="25" t="s">
        <v>437</v>
      </c>
      <c r="C59" s="200" t="s">
        <v>66</v>
      </c>
      <c r="D59" s="49" t="s">
        <v>68</v>
      </c>
      <c r="E59" s="201" t="s">
        <v>438</v>
      </c>
      <c r="F59" s="149" t="s">
        <v>470</v>
      </c>
      <c r="G59" s="203"/>
      <c r="H59" s="22"/>
      <c r="I59" s="6"/>
      <c r="J59" s="7"/>
      <c r="K59" s="6"/>
      <c r="L59" s="6"/>
      <c r="M59" s="6"/>
      <c r="N59" s="6"/>
      <c r="O59" s="6"/>
      <c r="P59" s="6"/>
      <c r="Q59" s="6"/>
      <c r="R59" s="6"/>
      <c r="S59" s="6"/>
      <c r="T59" s="6"/>
      <c r="U59" s="6"/>
      <c r="V59" s="6"/>
      <c r="W59" s="6"/>
      <c r="X59" s="6"/>
      <c r="Y59" s="6"/>
      <c r="Z59" s="6"/>
      <c r="AA59" s="6"/>
      <c r="AB59" s="6"/>
      <c r="AC59" s="6"/>
      <c r="AD59" s="6"/>
      <c r="AE59" s="6"/>
      <c r="AF59" s="6"/>
      <c r="AG59" s="6"/>
      <c r="AH59" s="6"/>
      <c r="AI59" s="6"/>
      <c r="AL59" s="6"/>
      <c r="AM59" s="6"/>
      <c r="AN59" s="6"/>
      <c r="AO59" s="6"/>
      <c r="AP59" s="6"/>
      <c r="AQ59" s="6"/>
      <c r="AR59" s="6"/>
      <c r="AS59" s="6"/>
      <c r="AT59" s="6"/>
    </row>
    <row r="60" spans="1:46" x14ac:dyDescent="0.2">
      <c r="A60" s="28">
        <v>1</v>
      </c>
      <c r="B60" s="25">
        <v>1</v>
      </c>
      <c r="C60" s="31">
        <v>8.4</v>
      </c>
      <c r="D60" s="31">
        <v>25.6</v>
      </c>
      <c r="E60" s="126">
        <v>50.1</v>
      </c>
      <c r="F60" s="149">
        <v>0</v>
      </c>
      <c r="G60" s="6"/>
      <c r="H60" s="6" t="s">
        <v>444</v>
      </c>
      <c r="I60" s="6"/>
      <c r="J60" s="7"/>
      <c r="K60" s="6"/>
      <c r="L60" s="6"/>
      <c r="M60" s="6"/>
      <c r="N60" s="6"/>
      <c r="O60" s="6"/>
      <c r="P60" s="6"/>
      <c r="Q60" s="6"/>
      <c r="R60" s="6"/>
      <c r="S60" s="6"/>
      <c r="T60" s="6"/>
      <c r="U60" s="6"/>
      <c r="V60" s="6"/>
      <c r="W60" s="6"/>
      <c r="X60" s="6"/>
      <c r="Y60" s="6"/>
      <c r="Z60" s="6"/>
      <c r="AA60" s="6"/>
      <c r="AB60" s="6"/>
      <c r="AC60" s="6"/>
      <c r="AD60" s="6"/>
      <c r="AE60" s="6"/>
      <c r="AF60" s="6"/>
      <c r="AG60" s="6"/>
      <c r="AH60" s="6"/>
      <c r="AI60" s="6"/>
      <c r="AL60" s="6"/>
      <c r="AM60" s="6"/>
      <c r="AN60" s="6"/>
      <c r="AO60" s="6"/>
      <c r="AP60" s="6"/>
      <c r="AQ60" s="6"/>
      <c r="AR60" s="6"/>
      <c r="AS60" s="6"/>
      <c r="AT60" s="6"/>
    </row>
    <row r="61" spans="1:46" x14ac:dyDescent="0.2">
      <c r="A61" s="28">
        <v>2</v>
      </c>
      <c r="B61" s="25">
        <v>5</v>
      </c>
      <c r="C61" s="1">
        <v>5.6</v>
      </c>
      <c r="D61" s="1">
        <v>17.100000000000001</v>
      </c>
      <c r="E61" s="149">
        <v>33.4</v>
      </c>
      <c r="F61" s="192">
        <v>0</v>
      </c>
      <c r="G61" s="6"/>
      <c r="H61" s="6"/>
      <c r="I61" s="6"/>
      <c r="J61" s="7"/>
      <c r="K61" s="6"/>
      <c r="L61" s="6"/>
      <c r="M61" s="6"/>
      <c r="N61" s="6"/>
      <c r="O61" s="6"/>
      <c r="P61" s="6"/>
      <c r="Q61" s="6"/>
      <c r="R61" s="6"/>
      <c r="S61" s="6"/>
      <c r="T61" s="6"/>
      <c r="U61" s="6"/>
      <c r="V61" s="6"/>
      <c r="W61" s="6"/>
      <c r="X61" s="6"/>
      <c r="Y61" s="6"/>
      <c r="Z61" s="6"/>
      <c r="AA61" s="6"/>
      <c r="AB61" s="6"/>
      <c r="AC61" s="6"/>
      <c r="AD61" s="6"/>
      <c r="AE61" s="6"/>
      <c r="AF61" s="6"/>
      <c r="AG61" s="6"/>
      <c r="AH61" s="6"/>
      <c r="AI61" s="6"/>
      <c r="AL61" s="6"/>
      <c r="AM61" s="6"/>
      <c r="AN61" s="6"/>
      <c r="AO61" s="6"/>
      <c r="AP61" s="6"/>
      <c r="AQ61" s="6"/>
      <c r="AR61" s="6"/>
      <c r="AS61" s="6"/>
      <c r="AT61" s="6"/>
    </row>
    <row r="62" spans="1:46" x14ac:dyDescent="0.2">
      <c r="A62" s="28">
        <v>3</v>
      </c>
      <c r="B62" s="25">
        <v>10</v>
      </c>
      <c r="C62" s="1">
        <v>4.2</v>
      </c>
      <c r="D62" s="1">
        <v>12.8</v>
      </c>
      <c r="E62" s="149">
        <v>25.1</v>
      </c>
      <c r="F62" s="149">
        <v>0</v>
      </c>
      <c r="G62" s="6"/>
      <c r="H62" s="6"/>
      <c r="I62" s="6"/>
      <c r="J62" s="7"/>
      <c r="K62" s="6"/>
      <c r="L62" s="6"/>
      <c r="M62" s="6"/>
      <c r="N62" s="6"/>
      <c r="O62" s="6"/>
      <c r="P62" s="6"/>
      <c r="Q62" s="6"/>
      <c r="R62" s="6"/>
      <c r="S62" s="6"/>
      <c r="T62" s="6"/>
      <c r="U62" s="6"/>
      <c r="V62" s="6"/>
      <c r="W62" s="6"/>
      <c r="X62" s="6"/>
      <c r="Y62" s="6"/>
      <c r="Z62" s="6"/>
      <c r="AA62" s="6"/>
      <c r="AB62" s="6"/>
      <c r="AC62" s="6"/>
      <c r="AD62" s="6"/>
      <c r="AE62" s="6"/>
      <c r="AF62" s="6"/>
      <c r="AG62" s="6"/>
      <c r="AH62" s="6"/>
      <c r="AI62" s="6"/>
      <c r="AL62" s="6"/>
      <c r="AM62" s="6"/>
      <c r="AN62" s="6"/>
      <c r="AO62" s="6"/>
      <c r="AP62" s="6"/>
      <c r="AQ62" s="6"/>
      <c r="AR62" s="6"/>
      <c r="AS62" s="6"/>
      <c r="AT62" s="6"/>
    </row>
    <row r="63" spans="1:46" x14ac:dyDescent="0.2">
      <c r="A63" s="28">
        <v>4</v>
      </c>
      <c r="B63" s="25">
        <v>15</v>
      </c>
      <c r="C63" s="1">
        <v>2.8</v>
      </c>
      <c r="D63" s="1">
        <v>8.6</v>
      </c>
      <c r="E63" s="149">
        <v>16.7</v>
      </c>
      <c r="F63" s="149">
        <v>0</v>
      </c>
      <c r="G63" s="6"/>
      <c r="H63" s="6"/>
      <c r="I63" s="6"/>
      <c r="J63" s="7"/>
      <c r="K63" s="6"/>
      <c r="L63" s="6"/>
      <c r="M63" s="6"/>
      <c r="N63" s="6"/>
      <c r="O63" s="6"/>
      <c r="P63" s="6"/>
      <c r="Q63" s="6"/>
      <c r="R63" s="6"/>
      <c r="S63" s="6"/>
      <c r="T63" s="6"/>
      <c r="U63" s="6"/>
      <c r="V63" s="6"/>
      <c r="W63" s="6"/>
      <c r="X63" s="6"/>
      <c r="Y63" s="6"/>
      <c r="Z63" s="6"/>
      <c r="AA63" s="6"/>
      <c r="AB63" s="6"/>
      <c r="AC63" s="6"/>
      <c r="AD63" s="6"/>
      <c r="AE63" s="6"/>
      <c r="AF63" s="6"/>
      <c r="AG63" s="6"/>
      <c r="AH63" s="6"/>
      <c r="AI63" s="6"/>
      <c r="AL63" s="6"/>
      <c r="AM63" s="6"/>
      <c r="AN63" s="6"/>
      <c r="AO63" s="6"/>
      <c r="AP63" s="6"/>
      <c r="AQ63" s="6"/>
      <c r="AR63" s="6"/>
      <c r="AS63" s="6"/>
      <c r="AT63" s="6"/>
    </row>
    <row r="64" spans="1:46" x14ac:dyDescent="0.2">
      <c r="A64" s="28">
        <v>5</v>
      </c>
      <c r="B64" s="25">
        <v>20</v>
      </c>
      <c r="C64" s="1">
        <v>2.1</v>
      </c>
      <c r="D64" s="1">
        <v>6.4</v>
      </c>
      <c r="E64" s="149">
        <v>12.5</v>
      </c>
      <c r="F64" s="149">
        <v>0</v>
      </c>
      <c r="G64" s="6"/>
      <c r="H64" s="6"/>
      <c r="I64" s="6"/>
      <c r="J64" s="7"/>
      <c r="K64" s="6"/>
      <c r="L64" s="6"/>
      <c r="M64" s="6"/>
      <c r="N64" s="6"/>
      <c r="O64" s="6"/>
      <c r="P64" s="6"/>
      <c r="Q64" s="6"/>
      <c r="R64" s="6"/>
      <c r="S64" s="6"/>
      <c r="T64" s="6"/>
      <c r="U64" s="6"/>
      <c r="V64" s="6"/>
      <c r="W64" s="6"/>
      <c r="X64" s="6"/>
      <c r="Y64" s="6"/>
      <c r="Z64" s="6"/>
      <c r="AA64" s="6"/>
      <c r="AB64" s="6"/>
      <c r="AC64" s="6"/>
      <c r="AD64" s="6"/>
      <c r="AE64" s="6"/>
      <c r="AF64" s="6"/>
      <c r="AG64" s="6"/>
      <c r="AH64" s="6"/>
      <c r="AI64" s="6"/>
      <c r="AL64" s="6"/>
      <c r="AM64" s="6"/>
      <c r="AN64" s="6"/>
      <c r="AO64" s="6"/>
      <c r="AP64" s="6"/>
      <c r="AQ64" s="6"/>
      <c r="AR64" s="6"/>
      <c r="AS64" s="6"/>
      <c r="AT64" s="6"/>
    </row>
    <row r="65" spans="1:46" x14ac:dyDescent="0.2">
      <c r="A65" s="28">
        <v>6</v>
      </c>
      <c r="B65" s="25">
        <v>25</v>
      </c>
      <c r="C65" s="33">
        <v>1.4</v>
      </c>
      <c r="D65" s="33">
        <v>4.3</v>
      </c>
      <c r="E65" s="150">
        <v>8.4</v>
      </c>
      <c r="F65" s="150">
        <v>0</v>
      </c>
      <c r="G65" s="6"/>
      <c r="H65" s="6"/>
      <c r="I65" s="6"/>
      <c r="J65" s="7"/>
      <c r="K65" s="6"/>
      <c r="L65" s="6"/>
      <c r="M65" s="6"/>
      <c r="N65" s="6"/>
      <c r="O65" s="6"/>
      <c r="P65" s="6"/>
      <c r="Q65" s="6"/>
      <c r="R65" s="6"/>
      <c r="S65" s="6"/>
      <c r="T65" s="6"/>
      <c r="U65" s="6"/>
      <c r="V65" s="6"/>
      <c r="W65" s="6"/>
      <c r="X65" s="6"/>
      <c r="Y65" s="6"/>
      <c r="Z65" s="6"/>
      <c r="AA65" s="6"/>
      <c r="AB65" s="6"/>
      <c r="AC65" s="6"/>
      <c r="AD65" s="6"/>
      <c r="AE65" s="6"/>
      <c r="AF65" s="6"/>
      <c r="AG65" s="6"/>
      <c r="AH65" s="6"/>
      <c r="AI65" s="6"/>
      <c r="AL65" s="6"/>
      <c r="AM65" s="6"/>
      <c r="AN65" s="6"/>
      <c r="AO65" s="6"/>
      <c r="AP65" s="6"/>
      <c r="AQ65" s="6"/>
      <c r="AR65" s="6"/>
      <c r="AS65" s="6"/>
      <c r="AT65" s="6"/>
    </row>
    <row r="66" spans="1:46" x14ac:dyDescent="0.2">
      <c r="A66" s="28"/>
      <c r="B66" s="25"/>
      <c r="C66" s="6"/>
      <c r="D66" s="6"/>
      <c r="E66" s="6"/>
      <c r="F66" s="6"/>
      <c r="G66" s="6"/>
      <c r="H66" s="6"/>
      <c r="I66" s="6"/>
      <c r="J66" s="7"/>
      <c r="K66" s="6"/>
      <c r="L66" s="6"/>
      <c r="M66" s="6"/>
      <c r="N66" s="6"/>
      <c r="O66" s="6"/>
      <c r="P66" s="6"/>
      <c r="Q66" s="6"/>
      <c r="R66" s="6"/>
      <c r="S66" s="6"/>
      <c r="T66" s="6"/>
      <c r="U66" s="6"/>
      <c r="V66" s="6"/>
      <c r="W66" s="6"/>
      <c r="X66" s="6"/>
      <c r="Y66" s="6"/>
      <c r="Z66" s="6"/>
      <c r="AA66" s="6"/>
      <c r="AB66" s="6"/>
      <c r="AC66" s="6"/>
      <c r="AD66" s="6"/>
      <c r="AE66" s="6"/>
      <c r="AF66" s="6"/>
      <c r="AG66" s="6"/>
      <c r="AH66" s="6"/>
      <c r="AI66" s="6"/>
      <c r="AL66" s="6"/>
      <c r="AM66" s="6"/>
      <c r="AN66" s="6"/>
      <c r="AO66" s="6"/>
      <c r="AP66" s="6"/>
      <c r="AQ66" s="6"/>
      <c r="AR66" s="6"/>
      <c r="AS66" s="6"/>
      <c r="AT66" s="6"/>
    </row>
    <row r="67" spans="1:46" x14ac:dyDescent="0.2">
      <c r="A67" s="327"/>
      <c r="B67" s="305"/>
      <c r="C67" s="631" t="s">
        <v>606</v>
      </c>
      <c r="D67" s="577"/>
      <c r="E67" s="577"/>
      <c r="F67" s="577"/>
      <c r="G67" s="577"/>
      <c r="H67" s="577"/>
      <c r="I67" s="577"/>
      <c r="J67" s="632"/>
      <c r="K67" s="6"/>
      <c r="L67" s="6"/>
      <c r="M67" s="6"/>
      <c r="N67" s="6"/>
      <c r="O67" s="6"/>
      <c r="P67" s="6"/>
      <c r="Q67" s="6"/>
      <c r="R67" s="6"/>
      <c r="S67" s="6"/>
      <c r="T67" s="6"/>
      <c r="U67" s="6"/>
      <c r="V67" s="6"/>
      <c r="W67" s="6"/>
      <c r="X67" s="6"/>
      <c r="Y67" s="6"/>
      <c r="Z67" s="6"/>
      <c r="AA67" s="6"/>
      <c r="AB67" s="6"/>
      <c r="AC67" s="6"/>
      <c r="AD67" s="6"/>
      <c r="AE67" s="6"/>
      <c r="AF67" s="6"/>
      <c r="AG67" s="6"/>
      <c r="AH67" s="6"/>
      <c r="AI67" s="6"/>
      <c r="AL67" s="6"/>
      <c r="AM67" s="6"/>
      <c r="AN67" s="6"/>
      <c r="AO67" s="6"/>
      <c r="AP67" s="6"/>
      <c r="AQ67" s="6"/>
      <c r="AR67" s="6"/>
      <c r="AS67" s="6"/>
      <c r="AT67" s="6"/>
    </row>
    <row r="68" spans="1:46" x14ac:dyDescent="0.2">
      <c r="A68" s="327" t="s">
        <v>604</v>
      </c>
      <c r="B68" s="306"/>
      <c r="C68" s="303">
        <v>1</v>
      </c>
      <c r="D68" s="303">
        <v>2</v>
      </c>
      <c r="E68" s="303">
        <v>3</v>
      </c>
      <c r="F68" s="307">
        <v>4</v>
      </c>
      <c r="G68" s="308">
        <v>5</v>
      </c>
      <c r="H68" s="309">
        <v>6</v>
      </c>
      <c r="I68" s="309">
        <v>7</v>
      </c>
      <c r="J68" s="328">
        <v>0</v>
      </c>
      <c r="K68" s="6"/>
      <c r="L68" s="6"/>
      <c r="M68" s="6"/>
      <c r="N68" s="6"/>
      <c r="O68" s="6"/>
      <c r="P68" s="6"/>
      <c r="Q68" s="6"/>
      <c r="R68" s="6"/>
      <c r="S68" s="6"/>
      <c r="T68" s="6"/>
      <c r="U68" s="6"/>
      <c r="V68" s="6"/>
      <c r="W68" s="6"/>
      <c r="X68" s="6"/>
      <c r="Y68" s="6"/>
      <c r="Z68" s="6"/>
      <c r="AA68" s="6"/>
      <c r="AB68" s="6"/>
      <c r="AC68" s="6"/>
      <c r="AD68" s="6"/>
      <c r="AE68" s="6"/>
      <c r="AF68" s="6"/>
      <c r="AG68" s="6"/>
      <c r="AH68" s="6"/>
      <c r="AI68" s="6"/>
      <c r="AL68" s="6"/>
      <c r="AM68" s="6"/>
      <c r="AN68" s="6"/>
      <c r="AO68" s="6"/>
      <c r="AP68" s="6"/>
      <c r="AQ68" s="6"/>
      <c r="AR68" s="6"/>
      <c r="AS68" s="6"/>
      <c r="AT68" s="6"/>
    </row>
    <row r="69" spans="1:46" x14ac:dyDescent="0.2">
      <c r="A69" s="327"/>
      <c r="B69" s="310" t="s">
        <v>437</v>
      </c>
      <c r="C69" s="311" t="s">
        <v>605</v>
      </c>
      <c r="D69" s="304" t="s">
        <v>475</v>
      </c>
      <c r="E69" s="303" t="s">
        <v>55</v>
      </c>
      <c r="F69" s="304" t="s">
        <v>63</v>
      </c>
      <c r="G69" s="303" t="s">
        <v>66</v>
      </c>
      <c r="H69" s="304" t="s">
        <v>67</v>
      </c>
      <c r="I69" s="303" t="s">
        <v>68</v>
      </c>
      <c r="J69" s="329" t="s">
        <v>470</v>
      </c>
      <c r="K69" s="6"/>
      <c r="L69" s="6"/>
      <c r="M69" s="6"/>
      <c r="N69" s="6"/>
      <c r="O69" s="6"/>
      <c r="P69" s="6"/>
      <c r="Q69" s="6"/>
      <c r="R69" s="6"/>
      <c r="S69" s="6"/>
      <c r="T69" s="6"/>
      <c r="U69" s="6"/>
      <c r="V69" s="6"/>
      <c r="W69" s="6"/>
      <c r="X69" s="6"/>
      <c r="Y69" s="6"/>
      <c r="Z69" s="6"/>
      <c r="AA69" s="6"/>
      <c r="AB69" s="6"/>
      <c r="AC69" s="6"/>
      <c r="AD69" s="6"/>
      <c r="AE69" s="6"/>
      <c r="AF69" s="6"/>
      <c r="AG69" s="6"/>
      <c r="AH69" s="6"/>
      <c r="AI69" s="6"/>
      <c r="AL69" s="6"/>
      <c r="AM69" s="6"/>
      <c r="AN69" s="6"/>
      <c r="AO69" s="6"/>
      <c r="AP69" s="6"/>
      <c r="AQ69" s="6"/>
      <c r="AR69" s="6"/>
      <c r="AS69" s="6"/>
      <c r="AT69" s="6"/>
    </row>
    <row r="70" spans="1:46" x14ac:dyDescent="0.2">
      <c r="A70" s="331">
        <v>1</v>
      </c>
      <c r="B70" s="26">
        <v>0.5</v>
      </c>
      <c r="C70" s="312">
        <v>159</v>
      </c>
      <c r="D70" s="313">
        <v>319</v>
      </c>
      <c r="E70" s="313">
        <v>637</v>
      </c>
      <c r="F70" s="314">
        <v>956</v>
      </c>
      <c r="G70" s="315">
        <v>1275</v>
      </c>
      <c r="H70" s="316">
        <v>1594</v>
      </c>
      <c r="I70" s="317">
        <v>1912</v>
      </c>
      <c r="J70" s="332">
        <v>0</v>
      </c>
      <c r="K70" s="6"/>
      <c r="L70" s="6"/>
      <c r="M70" s="6"/>
      <c r="N70" s="6"/>
      <c r="O70" s="6"/>
      <c r="P70" s="6"/>
      <c r="Q70" s="6"/>
      <c r="R70" s="6"/>
      <c r="S70" s="6"/>
      <c r="T70" s="6"/>
      <c r="U70" s="6"/>
      <c r="V70" s="6"/>
      <c r="W70" s="6"/>
      <c r="X70" s="6"/>
      <c r="Y70" s="6"/>
      <c r="Z70" s="6"/>
      <c r="AA70" s="6"/>
      <c r="AB70" s="6"/>
      <c r="AC70" s="6"/>
      <c r="AD70" s="6"/>
      <c r="AE70" s="6"/>
      <c r="AF70" s="6"/>
      <c r="AG70" s="6"/>
      <c r="AH70" s="6"/>
      <c r="AI70" s="6"/>
      <c r="AL70" s="6"/>
      <c r="AM70" s="6"/>
      <c r="AN70" s="6"/>
      <c r="AO70" s="6"/>
      <c r="AP70" s="6"/>
      <c r="AQ70" s="6"/>
      <c r="AR70" s="6"/>
      <c r="AS70" s="6"/>
      <c r="AT70" s="6"/>
    </row>
    <row r="71" spans="1:46" x14ac:dyDescent="0.2">
      <c r="A71" s="331">
        <v>2</v>
      </c>
      <c r="B71" s="310">
        <v>1</v>
      </c>
      <c r="C71" s="318">
        <v>153</v>
      </c>
      <c r="D71" s="319">
        <v>305</v>
      </c>
      <c r="E71" s="319">
        <v>610</v>
      </c>
      <c r="F71" s="314">
        <v>915</v>
      </c>
      <c r="G71" s="315">
        <v>1220</v>
      </c>
      <c r="H71" s="315">
        <v>1525</v>
      </c>
      <c r="I71" s="320">
        <v>1830</v>
      </c>
      <c r="J71" s="332">
        <v>0</v>
      </c>
      <c r="K71" s="6"/>
      <c r="L71" s="6"/>
      <c r="M71" s="6"/>
      <c r="N71" s="6"/>
      <c r="O71" s="6"/>
      <c r="P71" s="6"/>
      <c r="Q71" s="6"/>
      <c r="R71" s="6"/>
      <c r="S71" s="6"/>
      <c r="T71" s="6"/>
      <c r="U71" s="6"/>
      <c r="V71" s="6"/>
      <c r="W71" s="6"/>
      <c r="X71" s="6"/>
      <c r="Y71" s="6"/>
      <c r="Z71" s="6"/>
      <c r="AA71" s="6"/>
      <c r="AB71" s="6"/>
      <c r="AC71" s="6"/>
      <c r="AD71" s="6"/>
      <c r="AE71" s="6"/>
      <c r="AF71" s="6"/>
      <c r="AG71" s="6"/>
      <c r="AH71" s="6"/>
      <c r="AI71" s="6"/>
      <c r="AL71" s="6"/>
      <c r="AM71" s="6"/>
      <c r="AN71" s="6"/>
      <c r="AO71" s="6"/>
      <c r="AP71" s="6"/>
      <c r="AQ71" s="6"/>
      <c r="AR71" s="6"/>
      <c r="AS71" s="6"/>
      <c r="AT71" s="6"/>
    </row>
    <row r="72" spans="1:46" x14ac:dyDescent="0.2">
      <c r="A72" s="331">
        <v>3</v>
      </c>
      <c r="B72" s="310">
        <v>2</v>
      </c>
      <c r="C72" s="318">
        <v>140</v>
      </c>
      <c r="D72" s="319">
        <v>279</v>
      </c>
      <c r="E72" s="319">
        <v>558</v>
      </c>
      <c r="F72" s="314">
        <v>838</v>
      </c>
      <c r="G72" s="315">
        <v>1117</v>
      </c>
      <c r="H72" s="315">
        <v>1396</v>
      </c>
      <c r="I72" s="320">
        <v>1675</v>
      </c>
      <c r="J72" s="332">
        <v>0</v>
      </c>
      <c r="K72" s="6"/>
      <c r="L72" s="6"/>
      <c r="M72" s="6"/>
      <c r="N72" s="6"/>
      <c r="O72" s="6"/>
      <c r="P72" s="6"/>
      <c r="Q72" s="6"/>
      <c r="R72" s="6"/>
      <c r="S72" s="6"/>
      <c r="T72" s="6"/>
      <c r="U72" s="6"/>
      <c r="V72" s="6"/>
      <c r="W72" s="6"/>
      <c r="X72" s="6"/>
      <c r="Y72" s="6"/>
      <c r="Z72" s="6"/>
      <c r="AA72" s="6"/>
      <c r="AB72" s="6"/>
      <c r="AC72" s="6"/>
      <c r="AD72" s="6"/>
      <c r="AE72" s="6"/>
      <c r="AF72" s="6"/>
      <c r="AG72" s="6"/>
      <c r="AH72" s="6"/>
      <c r="AI72" s="6"/>
      <c r="AL72" s="6"/>
      <c r="AM72" s="6"/>
      <c r="AN72" s="6"/>
      <c r="AO72" s="6"/>
      <c r="AP72" s="6"/>
      <c r="AQ72" s="6"/>
      <c r="AR72" s="6"/>
      <c r="AS72" s="6"/>
      <c r="AT72" s="6"/>
    </row>
    <row r="73" spans="1:46" x14ac:dyDescent="0.2">
      <c r="A73" s="331">
        <v>4</v>
      </c>
      <c r="B73" s="310">
        <v>3</v>
      </c>
      <c r="C73" s="318">
        <v>128</v>
      </c>
      <c r="D73" s="319">
        <v>256</v>
      </c>
      <c r="E73" s="319">
        <v>511</v>
      </c>
      <c r="F73" s="314">
        <v>767</v>
      </c>
      <c r="G73" s="315">
        <v>1023</v>
      </c>
      <c r="H73" s="315">
        <v>1278</v>
      </c>
      <c r="I73" s="320">
        <v>1534</v>
      </c>
      <c r="J73" s="332">
        <v>0</v>
      </c>
      <c r="K73" s="6"/>
      <c r="L73" s="6"/>
      <c r="M73" s="6"/>
      <c r="N73" s="6"/>
      <c r="O73" s="6"/>
      <c r="P73" s="6"/>
      <c r="Q73" s="6"/>
      <c r="R73" s="6"/>
      <c r="S73" s="6"/>
      <c r="T73" s="6"/>
      <c r="U73" s="6"/>
      <c r="V73" s="6"/>
      <c r="W73" s="6"/>
      <c r="X73" s="6"/>
      <c r="Y73" s="6"/>
      <c r="Z73" s="6"/>
      <c r="AA73" s="6"/>
      <c r="AB73" s="6"/>
      <c r="AC73" s="6"/>
      <c r="AD73" s="6"/>
      <c r="AE73" s="6"/>
      <c r="AF73" s="6"/>
      <c r="AG73" s="6"/>
      <c r="AH73" s="6"/>
      <c r="AI73" s="6"/>
      <c r="AL73" s="6"/>
      <c r="AM73" s="6"/>
      <c r="AN73" s="6"/>
      <c r="AO73" s="6"/>
      <c r="AP73" s="6"/>
      <c r="AQ73" s="6"/>
      <c r="AR73" s="6"/>
      <c r="AS73" s="6"/>
      <c r="AT73" s="6"/>
    </row>
    <row r="74" spans="1:46" x14ac:dyDescent="0.2">
      <c r="A74" s="331">
        <v>5</v>
      </c>
      <c r="B74" s="310">
        <v>5</v>
      </c>
      <c r="C74" s="318">
        <v>107</v>
      </c>
      <c r="D74" s="319">
        <v>214</v>
      </c>
      <c r="E74" s="319">
        <v>429</v>
      </c>
      <c r="F74" s="314">
        <v>643</v>
      </c>
      <c r="G74" s="315">
        <v>858</v>
      </c>
      <c r="H74" s="315">
        <v>1072</v>
      </c>
      <c r="I74" s="320">
        <v>1286</v>
      </c>
      <c r="J74" s="332">
        <v>0</v>
      </c>
      <c r="K74" s="6"/>
      <c r="L74" s="6"/>
      <c r="M74" s="6"/>
      <c r="N74" s="6"/>
      <c r="O74" s="6"/>
      <c r="P74" s="6"/>
      <c r="Q74" s="6"/>
      <c r="R74" s="6"/>
      <c r="S74" s="6"/>
      <c r="T74" s="6"/>
      <c r="U74" s="6"/>
      <c r="V74" s="6"/>
      <c r="W74" s="6"/>
      <c r="X74" s="6"/>
      <c r="Y74" s="6"/>
      <c r="Z74" s="6"/>
      <c r="AA74" s="6"/>
      <c r="AB74" s="6"/>
      <c r="AC74" s="6"/>
      <c r="AD74" s="6"/>
      <c r="AE74" s="6"/>
      <c r="AF74" s="6"/>
      <c r="AG74" s="6"/>
      <c r="AH74" s="6"/>
      <c r="AI74" s="6"/>
      <c r="AL74" s="6"/>
      <c r="AM74" s="6"/>
      <c r="AN74" s="6"/>
      <c r="AO74" s="6"/>
      <c r="AP74" s="6"/>
      <c r="AQ74" s="6"/>
      <c r="AR74" s="6"/>
      <c r="AS74" s="6"/>
      <c r="AT74" s="6"/>
    </row>
    <row r="75" spans="1:46" x14ac:dyDescent="0.2">
      <c r="A75" s="331">
        <v>6</v>
      </c>
      <c r="B75" s="321">
        <v>7</v>
      </c>
      <c r="C75" s="314">
        <v>90</v>
      </c>
      <c r="D75" s="318">
        <v>180</v>
      </c>
      <c r="E75" s="318">
        <v>360</v>
      </c>
      <c r="F75" s="319">
        <v>539</v>
      </c>
      <c r="G75" s="315">
        <v>719</v>
      </c>
      <c r="H75" s="315">
        <v>899</v>
      </c>
      <c r="I75" s="320">
        <v>1079</v>
      </c>
      <c r="J75" s="332">
        <v>0</v>
      </c>
      <c r="K75" s="6"/>
      <c r="L75" s="6"/>
      <c r="M75" s="6"/>
      <c r="N75" s="6"/>
      <c r="O75" s="6"/>
      <c r="P75" s="6"/>
      <c r="Q75" s="6"/>
      <c r="R75" s="6"/>
      <c r="S75" s="6"/>
      <c r="T75" s="6"/>
      <c r="U75" s="6"/>
      <c r="V75" s="6"/>
      <c r="W75" s="6"/>
      <c r="X75" s="6"/>
      <c r="Y75" s="6"/>
      <c r="Z75" s="6"/>
      <c r="AA75" s="6"/>
      <c r="AB75" s="6"/>
      <c r="AC75" s="6"/>
      <c r="AD75" s="6"/>
      <c r="AE75" s="6"/>
      <c r="AF75" s="6"/>
      <c r="AG75" s="6"/>
      <c r="AH75" s="6"/>
      <c r="AI75" s="6"/>
      <c r="AL75" s="6"/>
      <c r="AM75" s="6"/>
      <c r="AN75" s="6"/>
      <c r="AO75" s="6"/>
      <c r="AP75" s="6"/>
      <c r="AQ75" s="6"/>
      <c r="AR75" s="6"/>
      <c r="AS75" s="6"/>
      <c r="AT75" s="6"/>
    </row>
    <row r="76" spans="1:46" x14ac:dyDescent="0.2">
      <c r="A76" s="331">
        <v>7</v>
      </c>
      <c r="B76" s="310">
        <v>10</v>
      </c>
      <c r="C76" s="314">
        <v>69</v>
      </c>
      <c r="D76" s="318">
        <v>138</v>
      </c>
      <c r="E76" s="318">
        <v>277</v>
      </c>
      <c r="F76" s="319">
        <v>415</v>
      </c>
      <c r="G76" s="315">
        <v>553</v>
      </c>
      <c r="H76" s="315">
        <v>691</v>
      </c>
      <c r="I76" s="320">
        <v>830</v>
      </c>
      <c r="J76" s="332">
        <v>0</v>
      </c>
      <c r="K76" s="6"/>
      <c r="L76" s="6"/>
      <c r="M76" s="6"/>
      <c r="N76" s="6"/>
      <c r="O76" s="6"/>
      <c r="P76" s="6"/>
      <c r="Q76" s="6"/>
      <c r="R76" s="6"/>
      <c r="S76" s="6"/>
      <c r="T76" s="6"/>
      <c r="U76" s="6"/>
      <c r="V76" s="6"/>
      <c r="W76" s="6"/>
      <c r="X76" s="6"/>
      <c r="Y76" s="6"/>
      <c r="Z76" s="6"/>
      <c r="AA76" s="6"/>
      <c r="AB76" s="6"/>
      <c r="AC76" s="6"/>
      <c r="AD76" s="6"/>
      <c r="AE76" s="6"/>
      <c r="AF76" s="6"/>
      <c r="AG76" s="6"/>
      <c r="AH76" s="6"/>
      <c r="AI76" s="6"/>
      <c r="AL76" s="6"/>
      <c r="AM76" s="6"/>
      <c r="AN76" s="6"/>
      <c r="AO76" s="6"/>
      <c r="AP76" s="6"/>
      <c r="AQ76" s="6"/>
      <c r="AR76" s="6"/>
      <c r="AS76" s="6"/>
      <c r="AT76" s="6"/>
    </row>
    <row r="77" spans="1:46" x14ac:dyDescent="0.2">
      <c r="A77" s="331">
        <v>8</v>
      </c>
      <c r="B77" s="310">
        <v>15</v>
      </c>
      <c r="C77" s="314">
        <v>45</v>
      </c>
      <c r="D77" s="318">
        <v>89</v>
      </c>
      <c r="E77" s="318">
        <v>179</v>
      </c>
      <c r="F77" s="319">
        <v>268</v>
      </c>
      <c r="G77" s="315">
        <v>357</v>
      </c>
      <c r="H77" s="315">
        <v>447</v>
      </c>
      <c r="I77" s="320">
        <v>536</v>
      </c>
      <c r="J77" s="332">
        <v>0</v>
      </c>
      <c r="K77" s="6"/>
      <c r="L77" s="6"/>
      <c r="M77" s="6"/>
      <c r="N77" s="6"/>
      <c r="O77" s="6"/>
      <c r="P77" s="6"/>
      <c r="Q77" s="6"/>
      <c r="R77" s="6"/>
      <c r="S77" s="6"/>
      <c r="T77" s="6"/>
      <c r="U77" s="6"/>
      <c r="V77" s="6"/>
      <c r="W77" s="6"/>
      <c r="X77" s="6"/>
      <c r="Y77" s="6"/>
      <c r="Z77" s="6"/>
      <c r="AA77" s="6"/>
      <c r="AB77" s="6"/>
      <c r="AC77" s="6"/>
      <c r="AD77" s="6"/>
      <c r="AE77" s="6"/>
      <c r="AF77" s="6"/>
      <c r="AG77" s="6"/>
      <c r="AH77" s="6"/>
      <c r="AI77" s="6"/>
      <c r="AL77" s="6"/>
      <c r="AM77" s="6"/>
      <c r="AN77" s="6"/>
      <c r="AO77" s="6"/>
      <c r="AP77" s="6"/>
      <c r="AQ77" s="6"/>
      <c r="AR77" s="6"/>
      <c r="AS77" s="6"/>
      <c r="AT77" s="6"/>
    </row>
    <row r="78" spans="1:46" x14ac:dyDescent="0.2">
      <c r="A78" s="331">
        <v>9</v>
      </c>
      <c r="B78" s="321">
        <v>20</v>
      </c>
      <c r="C78" s="314">
        <v>29</v>
      </c>
      <c r="D78" s="318">
        <v>58</v>
      </c>
      <c r="E78" s="318">
        <v>116</v>
      </c>
      <c r="F78" s="319">
        <v>174</v>
      </c>
      <c r="G78" s="315">
        <v>232</v>
      </c>
      <c r="H78" s="315">
        <v>289</v>
      </c>
      <c r="I78" s="320">
        <v>347</v>
      </c>
      <c r="J78" s="332">
        <v>0</v>
      </c>
      <c r="K78" s="6"/>
      <c r="L78" s="6"/>
      <c r="M78" s="6"/>
      <c r="N78" s="6"/>
      <c r="O78" s="6"/>
      <c r="P78" s="6"/>
      <c r="Q78" s="6"/>
      <c r="R78" s="6"/>
      <c r="S78" s="6"/>
      <c r="T78" s="6"/>
      <c r="U78" s="6"/>
      <c r="V78" s="6"/>
      <c r="W78" s="6"/>
      <c r="X78" s="6"/>
      <c r="Y78" s="6"/>
      <c r="Z78" s="6"/>
      <c r="AA78" s="6"/>
      <c r="AB78" s="6"/>
      <c r="AC78" s="6"/>
      <c r="AD78" s="6"/>
      <c r="AE78" s="6"/>
      <c r="AF78" s="6"/>
      <c r="AG78" s="6"/>
      <c r="AH78" s="6"/>
      <c r="AI78" s="6"/>
      <c r="AL78" s="6"/>
      <c r="AM78" s="6"/>
      <c r="AN78" s="6"/>
      <c r="AO78" s="6"/>
      <c r="AP78" s="6"/>
      <c r="AQ78" s="6"/>
      <c r="AR78" s="6"/>
      <c r="AS78" s="6"/>
      <c r="AT78" s="6"/>
    </row>
    <row r="79" spans="1:46" x14ac:dyDescent="0.2">
      <c r="A79" s="331">
        <v>10</v>
      </c>
      <c r="B79" s="321">
        <v>25</v>
      </c>
      <c r="C79" s="314">
        <v>19</v>
      </c>
      <c r="D79" s="318">
        <v>38</v>
      </c>
      <c r="E79" s="318">
        <v>75</v>
      </c>
      <c r="F79" s="319">
        <v>113</v>
      </c>
      <c r="G79" s="315">
        <v>150</v>
      </c>
      <c r="H79" s="315">
        <v>188</v>
      </c>
      <c r="I79" s="320">
        <v>226</v>
      </c>
      <c r="J79" s="332">
        <v>0</v>
      </c>
      <c r="K79" s="6"/>
      <c r="L79" s="6"/>
      <c r="M79" s="6"/>
      <c r="N79" s="6"/>
      <c r="O79" s="6"/>
      <c r="P79" s="6"/>
      <c r="Q79" s="6"/>
      <c r="R79" s="6"/>
      <c r="S79" s="6"/>
      <c r="T79" s="6"/>
      <c r="U79" s="6"/>
      <c r="V79" s="6"/>
      <c r="W79" s="6"/>
      <c r="X79" s="6"/>
      <c r="Y79" s="6"/>
      <c r="Z79" s="6"/>
      <c r="AA79" s="6"/>
      <c r="AB79" s="6"/>
      <c r="AC79" s="6"/>
      <c r="AD79" s="6"/>
      <c r="AE79" s="6"/>
      <c r="AF79" s="6"/>
      <c r="AG79" s="6"/>
      <c r="AH79" s="6"/>
      <c r="AI79" s="6"/>
      <c r="AL79" s="6"/>
      <c r="AM79" s="6"/>
      <c r="AN79" s="6"/>
      <c r="AO79" s="6"/>
      <c r="AP79" s="6"/>
      <c r="AQ79" s="6"/>
      <c r="AR79" s="6"/>
      <c r="AS79" s="6"/>
      <c r="AT79" s="6"/>
    </row>
    <row r="80" spans="1:46" x14ac:dyDescent="0.2">
      <c r="A80" s="331">
        <v>11</v>
      </c>
      <c r="B80" s="321">
        <v>30</v>
      </c>
      <c r="C80" s="322">
        <v>12</v>
      </c>
      <c r="D80" s="323">
        <v>24</v>
      </c>
      <c r="E80" s="323">
        <v>49</v>
      </c>
      <c r="F80" s="324">
        <v>73</v>
      </c>
      <c r="G80" s="325">
        <v>98</v>
      </c>
      <c r="H80" s="325">
        <v>122</v>
      </c>
      <c r="I80" s="326">
        <v>147</v>
      </c>
      <c r="J80" s="333">
        <v>0</v>
      </c>
      <c r="K80" s="6"/>
      <c r="L80" s="6"/>
      <c r="M80" s="6"/>
      <c r="N80" s="6"/>
      <c r="O80" s="6"/>
      <c r="P80" s="6"/>
      <c r="Q80" s="6"/>
      <c r="R80" s="6"/>
      <c r="S80" s="6"/>
      <c r="T80" s="6"/>
      <c r="U80" s="6"/>
      <c r="V80" s="6"/>
      <c r="W80" s="6"/>
      <c r="X80" s="6"/>
      <c r="Y80" s="6"/>
      <c r="Z80" s="6"/>
      <c r="AA80" s="6"/>
      <c r="AB80" s="6"/>
      <c r="AC80" s="6"/>
      <c r="AD80" s="6"/>
      <c r="AE80" s="6"/>
      <c r="AF80" s="6"/>
      <c r="AG80" s="6"/>
      <c r="AH80" s="6"/>
      <c r="AI80" s="6"/>
      <c r="AL80" s="6"/>
      <c r="AM80" s="6"/>
      <c r="AN80" s="6"/>
      <c r="AO80" s="6"/>
      <c r="AP80" s="6"/>
      <c r="AQ80" s="6"/>
      <c r="AR80" s="6"/>
      <c r="AS80" s="6"/>
      <c r="AT80" s="6"/>
    </row>
    <row r="81" spans="1:46" ht="13.5" thickBot="1" x14ac:dyDescent="0.25">
      <c r="A81" s="29"/>
      <c r="B81" s="206"/>
      <c r="C81" s="9"/>
      <c r="D81" s="9"/>
      <c r="E81" s="9"/>
      <c r="F81" s="9"/>
      <c r="G81" s="9"/>
      <c r="H81" s="9"/>
      <c r="I81" s="9"/>
      <c r="J81" s="10"/>
      <c r="K81" s="6"/>
      <c r="L81" s="6"/>
      <c r="M81" s="6"/>
      <c r="N81" s="6"/>
      <c r="O81" s="6"/>
      <c r="P81" s="6"/>
      <c r="Q81" s="6"/>
      <c r="R81" s="6"/>
      <c r="S81" s="6"/>
      <c r="T81" s="6"/>
      <c r="U81" s="6"/>
      <c r="V81" s="6"/>
      <c r="W81" s="6"/>
      <c r="X81" s="6"/>
      <c r="Y81" s="6"/>
      <c r="Z81" s="6"/>
      <c r="AA81" s="6"/>
      <c r="AB81" s="6"/>
      <c r="AC81" s="6"/>
      <c r="AD81" s="6"/>
      <c r="AE81" s="6"/>
      <c r="AF81" s="6"/>
      <c r="AG81" s="6"/>
      <c r="AH81" s="6"/>
      <c r="AI81" s="6"/>
      <c r="AL81" s="6"/>
      <c r="AM81" s="6"/>
      <c r="AN81" s="6"/>
      <c r="AO81" s="6"/>
      <c r="AP81" s="6"/>
      <c r="AQ81" s="6"/>
      <c r="AR81" s="6"/>
      <c r="AS81" s="6"/>
      <c r="AT81" s="6"/>
    </row>
    <row r="82" spans="1:46" x14ac:dyDescent="0.2">
      <c r="B82" s="2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L82" s="6"/>
      <c r="AM82" s="6"/>
      <c r="AN82" s="6"/>
      <c r="AO82" s="6"/>
      <c r="AP82" s="6"/>
      <c r="AQ82" s="6"/>
      <c r="AR82" s="6"/>
      <c r="AS82" s="6"/>
      <c r="AT82" s="6"/>
    </row>
    <row r="83" spans="1:46" ht="13.5" thickBot="1" x14ac:dyDescent="0.25">
      <c r="B83" s="2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L83" s="6"/>
      <c r="AM83" s="6"/>
      <c r="AN83" s="6"/>
      <c r="AO83" s="6"/>
      <c r="AP83" s="6"/>
      <c r="AQ83" s="6"/>
      <c r="AR83" s="6"/>
      <c r="AS83" s="6"/>
      <c r="AT83" s="6"/>
    </row>
    <row r="84" spans="1:46" x14ac:dyDescent="0.2">
      <c r="A84" s="27"/>
      <c r="B84" s="204"/>
      <c r="C84" s="4"/>
      <c r="D84" s="4"/>
      <c r="E84" s="4"/>
      <c r="F84" s="4"/>
      <c r="G84" s="4"/>
      <c r="H84" s="4"/>
      <c r="I84" s="4"/>
      <c r="J84" s="5"/>
      <c r="K84" s="6"/>
      <c r="L84" s="6"/>
      <c r="M84" s="6"/>
      <c r="N84" s="6"/>
      <c r="O84" s="6"/>
      <c r="P84" s="6"/>
      <c r="Q84" s="6"/>
      <c r="R84" s="6"/>
      <c r="S84" s="6"/>
      <c r="T84" s="6"/>
      <c r="U84" s="6"/>
      <c r="V84" s="6"/>
      <c r="W84" s="6"/>
      <c r="X84" s="6"/>
      <c r="Y84" s="6"/>
      <c r="Z84" s="6"/>
      <c r="AA84" s="6"/>
      <c r="AB84" s="6"/>
      <c r="AC84" s="6"/>
      <c r="AD84" s="6"/>
      <c r="AE84" s="6"/>
      <c r="AF84" s="6"/>
      <c r="AG84" s="6"/>
      <c r="AH84" s="6"/>
      <c r="AI84" s="6"/>
      <c r="AL84" s="6"/>
      <c r="AM84" s="6"/>
      <c r="AN84" s="6"/>
      <c r="AO84" s="6"/>
      <c r="AP84" s="6"/>
      <c r="AQ84" s="6"/>
      <c r="AR84" s="6"/>
      <c r="AS84" s="6"/>
      <c r="AT84" s="6"/>
    </row>
    <row r="85" spans="1:46" x14ac:dyDescent="0.2">
      <c r="A85" s="28"/>
      <c r="B85" s="6"/>
      <c r="C85" s="608" t="s">
        <v>478</v>
      </c>
      <c r="D85" s="609"/>
      <c r="E85" s="609"/>
      <c r="F85" s="609"/>
      <c r="G85" s="609"/>
      <c r="H85" s="609"/>
      <c r="I85" s="615"/>
      <c r="J85" s="7"/>
      <c r="K85" s="6"/>
      <c r="L85" s="6"/>
      <c r="M85" s="6"/>
      <c r="N85" s="6"/>
      <c r="O85" s="6"/>
      <c r="P85" s="6"/>
      <c r="Q85" s="6"/>
      <c r="R85" s="6"/>
      <c r="S85" s="6"/>
      <c r="T85" s="6"/>
      <c r="U85" s="6"/>
      <c r="V85" s="6"/>
      <c r="W85" s="6"/>
      <c r="X85" s="6"/>
      <c r="Y85" s="6"/>
      <c r="Z85" s="6"/>
      <c r="AA85" s="6"/>
      <c r="AB85" s="6"/>
      <c r="AC85" s="6"/>
      <c r="AD85" s="6"/>
      <c r="AE85" s="6"/>
      <c r="AF85" s="6"/>
      <c r="AG85" s="6"/>
      <c r="AH85" s="6"/>
      <c r="AI85" s="6"/>
      <c r="AL85" s="6"/>
      <c r="AM85" s="6"/>
      <c r="AN85" s="6"/>
      <c r="AO85" s="6"/>
      <c r="AP85" s="6"/>
      <c r="AQ85" s="6"/>
      <c r="AR85" s="6"/>
      <c r="AS85" s="6"/>
      <c r="AT85" s="6"/>
    </row>
    <row r="86" spans="1:46" x14ac:dyDescent="0.2">
      <c r="A86" s="28" t="s">
        <v>474</v>
      </c>
      <c r="B86" s="6"/>
      <c r="C86" s="213">
        <v>1</v>
      </c>
      <c r="D86" s="213">
        <v>2</v>
      </c>
      <c r="E86" s="213">
        <v>3</v>
      </c>
      <c r="F86" s="214">
        <v>4</v>
      </c>
      <c r="G86" s="214">
        <v>5</v>
      </c>
      <c r="H86" s="215">
        <v>6</v>
      </c>
      <c r="I86" s="216">
        <v>0</v>
      </c>
      <c r="J86" s="7"/>
      <c r="K86" s="6"/>
      <c r="L86" s="6"/>
      <c r="M86" s="6"/>
      <c r="N86" s="6"/>
      <c r="O86" s="6"/>
      <c r="P86" s="6"/>
      <c r="Q86" s="6"/>
      <c r="R86" s="6"/>
      <c r="S86" s="6"/>
      <c r="T86" s="6"/>
      <c r="U86" s="6"/>
      <c r="V86" s="6"/>
      <c r="W86" s="6"/>
      <c r="X86" s="6"/>
      <c r="Y86" s="6"/>
      <c r="Z86" s="6"/>
      <c r="AA86" s="6"/>
      <c r="AB86" s="6"/>
      <c r="AC86" s="6"/>
      <c r="AD86" s="6"/>
      <c r="AE86" s="6"/>
      <c r="AF86" s="6"/>
      <c r="AG86" s="6"/>
      <c r="AH86" s="6"/>
      <c r="AI86" s="6"/>
      <c r="AL86" s="6"/>
      <c r="AM86" s="6"/>
      <c r="AN86" s="6"/>
      <c r="AO86" s="6"/>
      <c r="AP86" s="6"/>
      <c r="AQ86" s="6"/>
      <c r="AR86" s="6"/>
      <c r="AS86" s="6"/>
      <c r="AT86" s="6"/>
    </row>
    <row r="87" spans="1:46" x14ac:dyDescent="0.2">
      <c r="A87" s="205"/>
      <c r="B87" s="25" t="s">
        <v>437</v>
      </c>
      <c r="C87" s="199" t="s">
        <v>475</v>
      </c>
      <c r="D87" s="49" t="s">
        <v>55</v>
      </c>
      <c r="E87" s="198" t="s">
        <v>63</v>
      </c>
      <c r="F87" s="145" t="s">
        <v>66</v>
      </c>
      <c r="G87" s="198" t="s">
        <v>67</v>
      </c>
      <c r="H87" s="145" t="s">
        <v>68</v>
      </c>
      <c r="I87" s="149" t="s">
        <v>470</v>
      </c>
      <c r="J87" s="7"/>
      <c r="K87" s="6"/>
      <c r="L87" s="6"/>
      <c r="M87" s="6"/>
      <c r="N87" s="6"/>
      <c r="O87" s="6"/>
      <c r="P87" s="6"/>
      <c r="Q87" s="6"/>
      <c r="R87" s="6"/>
      <c r="S87" s="6"/>
      <c r="T87" s="6"/>
      <c r="U87" s="6"/>
      <c r="V87" s="6"/>
      <c r="W87" s="6"/>
      <c r="X87" s="6"/>
      <c r="Y87" s="6"/>
      <c r="Z87" s="6"/>
      <c r="AA87" s="6"/>
      <c r="AB87" s="6"/>
      <c r="AC87" s="6"/>
      <c r="AD87" s="6"/>
      <c r="AE87" s="6"/>
      <c r="AF87" s="6"/>
      <c r="AG87" s="6"/>
      <c r="AH87" s="6"/>
      <c r="AI87" s="6"/>
      <c r="AL87" s="6"/>
      <c r="AM87" s="6"/>
      <c r="AN87" s="6"/>
      <c r="AO87" s="6"/>
      <c r="AP87" s="6"/>
      <c r="AQ87" s="6"/>
      <c r="AR87" s="6"/>
      <c r="AS87" s="6"/>
      <c r="AT87" s="6"/>
    </row>
    <row r="88" spans="1:46" x14ac:dyDescent="0.2">
      <c r="A88" s="28">
        <v>1</v>
      </c>
      <c r="B88" s="25">
        <v>1</v>
      </c>
      <c r="C88" s="31">
        <v>0.48</v>
      </c>
      <c r="D88" s="31">
        <v>0.97</v>
      </c>
      <c r="E88" s="126">
        <v>1.5</v>
      </c>
      <c r="F88" s="126">
        <v>1.9</v>
      </c>
      <c r="G88" s="32">
        <v>2.4</v>
      </c>
      <c r="H88" s="32">
        <v>2.9</v>
      </c>
      <c r="I88" s="149">
        <v>0</v>
      </c>
      <c r="J88" s="7"/>
      <c r="K88" s="6"/>
      <c r="L88" s="6"/>
      <c r="M88" s="6"/>
      <c r="N88" s="6"/>
      <c r="O88" s="6"/>
      <c r="P88" s="6"/>
      <c r="Q88" s="6"/>
      <c r="R88" s="6"/>
      <c r="S88" s="6"/>
      <c r="T88" s="6"/>
      <c r="U88" s="6"/>
      <c r="V88" s="6"/>
      <c r="W88" s="6"/>
      <c r="X88" s="6"/>
      <c r="Y88" s="6"/>
      <c r="Z88" s="6"/>
      <c r="AA88" s="6"/>
      <c r="AB88" s="6"/>
      <c r="AC88" s="6"/>
      <c r="AD88" s="6"/>
      <c r="AE88" s="6"/>
      <c r="AF88" s="6"/>
      <c r="AG88" s="6"/>
      <c r="AH88" s="6"/>
      <c r="AI88" s="6"/>
      <c r="AL88" s="6"/>
      <c r="AM88" s="6"/>
      <c r="AN88" s="6"/>
      <c r="AO88" s="6"/>
      <c r="AP88" s="6"/>
      <c r="AQ88" s="6"/>
      <c r="AR88" s="6"/>
      <c r="AS88" s="6"/>
      <c r="AT88" s="6"/>
    </row>
    <row r="89" spans="1:46" s="6" customFormat="1" x14ac:dyDescent="0.2">
      <c r="A89" s="28">
        <v>2</v>
      </c>
      <c r="B89" s="25">
        <v>5</v>
      </c>
      <c r="C89" s="1">
        <v>0.32</v>
      </c>
      <c r="D89" s="1">
        <v>0.63</v>
      </c>
      <c r="E89" s="149">
        <v>0.95</v>
      </c>
      <c r="F89" s="149">
        <v>1.3</v>
      </c>
      <c r="G89" s="2">
        <v>1.6</v>
      </c>
      <c r="H89" s="2">
        <v>1.9</v>
      </c>
      <c r="I89" s="192">
        <v>0</v>
      </c>
      <c r="J89" s="7"/>
    </row>
    <row r="90" spans="1:46" x14ac:dyDescent="0.2">
      <c r="A90" s="28">
        <v>3</v>
      </c>
      <c r="B90" s="25">
        <v>10</v>
      </c>
      <c r="C90" s="1">
        <v>0.23</v>
      </c>
      <c r="D90" s="1">
        <v>0.48</v>
      </c>
      <c r="E90" s="149">
        <v>0.72</v>
      </c>
      <c r="F90" s="149">
        <v>0.95</v>
      </c>
      <c r="G90" s="2">
        <v>1.2</v>
      </c>
      <c r="H90" s="2">
        <v>1.43</v>
      </c>
      <c r="I90" s="149">
        <v>0</v>
      </c>
      <c r="J90" s="7"/>
      <c r="K90" s="6"/>
      <c r="L90" s="6"/>
      <c r="M90" s="6"/>
      <c r="N90" s="6"/>
      <c r="O90" s="6"/>
      <c r="P90" s="6"/>
      <c r="Q90" s="6"/>
      <c r="R90" s="6"/>
      <c r="S90" s="6"/>
      <c r="T90" s="6"/>
      <c r="U90" s="6"/>
      <c r="V90" s="6"/>
      <c r="W90" s="6"/>
      <c r="X90" s="6"/>
      <c r="Y90" s="6"/>
      <c r="Z90" s="6"/>
      <c r="AA90" s="6"/>
      <c r="AB90" s="6"/>
      <c r="AC90" s="6"/>
      <c r="AD90" s="6"/>
      <c r="AE90" s="6"/>
      <c r="AF90" s="6"/>
      <c r="AG90" s="6"/>
      <c r="AH90" s="6"/>
      <c r="AI90" s="6"/>
      <c r="AL90" s="6"/>
      <c r="AM90" s="6"/>
      <c r="AN90" s="6"/>
      <c r="AO90" s="6"/>
      <c r="AP90" s="6"/>
      <c r="AQ90" s="6"/>
      <c r="AR90" s="6"/>
      <c r="AS90" s="6"/>
      <c r="AT90" s="6"/>
    </row>
    <row r="91" spans="1:46" x14ac:dyDescent="0.2">
      <c r="A91" s="28">
        <v>4</v>
      </c>
      <c r="B91" s="25">
        <v>15</v>
      </c>
      <c r="C91" s="1">
        <v>0.16</v>
      </c>
      <c r="D91" s="1">
        <v>0.32</v>
      </c>
      <c r="E91" s="149">
        <v>0.48</v>
      </c>
      <c r="F91" s="149">
        <v>0.63</v>
      </c>
      <c r="G91" s="2">
        <v>0.79</v>
      </c>
      <c r="H91" s="2">
        <v>0.95</v>
      </c>
      <c r="I91" s="149">
        <v>0</v>
      </c>
      <c r="J91" s="7"/>
      <c r="K91" s="6"/>
      <c r="L91" s="6"/>
      <c r="M91" s="6"/>
      <c r="N91" s="6"/>
      <c r="O91" s="6"/>
      <c r="P91" s="6"/>
      <c r="Q91" s="6"/>
      <c r="R91" s="6"/>
      <c r="S91" s="6"/>
      <c r="T91" s="6"/>
      <c r="U91" s="6"/>
      <c r="V91" s="6"/>
      <c r="W91" s="6"/>
      <c r="X91" s="6"/>
      <c r="Y91" s="6"/>
      <c r="Z91" s="6"/>
      <c r="AA91" s="6"/>
      <c r="AB91" s="6"/>
      <c r="AC91" s="6"/>
      <c r="AD91" s="6"/>
      <c r="AE91" s="6"/>
      <c r="AF91" s="6"/>
      <c r="AG91" s="6"/>
      <c r="AH91" s="6"/>
      <c r="AI91" s="6"/>
      <c r="AL91" s="6"/>
      <c r="AM91" s="6"/>
      <c r="AN91" s="6"/>
      <c r="AO91" s="6"/>
      <c r="AP91" s="6"/>
      <c r="AQ91" s="6"/>
      <c r="AR91" s="6"/>
      <c r="AS91" s="6"/>
      <c r="AT91" s="6"/>
    </row>
    <row r="92" spans="1:46" x14ac:dyDescent="0.2">
      <c r="A92" s="28">
        <v>5</v>
      </c>
      <c r="B92" s="25">
        <v>20</v>
      </c>
      <c r="C92" s="1">
        <v>0.12</v>
      </c>
      <c r="D92" s="1">
        <v>0.24</v>
      </c>
      <c r="E92" s="149">
        <v>0.36</v>
      </c>
      <c r="F92" s="149">
        <v>0.48</v>
      </c>
      <c r="G92" s="2">
        <v>0.6</v>
      </c>
      <c r="H92" s="2">
        <v>0.72</v>
      </c>
      <c r="I92" s="149">
        <v>0</v>
      </c>
      <c r="J92" s="7"/>
      <c r="K92" s="6"/>
      <c r="L92" s="6"/>
      <c r="M92" s="6"/>
      <c r="N92" s="6"/>
      <c r="O92" s="6"/>
      <c r="P92" s="6"/>
      <c r="Q92" s="6"/>
      <c r="R92" s="6"/>
      <c r="S92" s="6"/>
      <c r="T92" s="6"/>
      <c r="U92" s="6"/>
      <c r="V92" s="6"/>
      <c r="W92" s="6"/>
      <c r="X92" s="6"/>
      <c r="Y92" s="6"/>
      <c r="Z92" s="6"/>
      <c r="AA92" s="6"/>
      <c r="AB92" s="6"/>
      <c r="AC92" s="6"/>
      <c r="AD92" s="6"/>
      <c r="AE92" s="6"/>
      <c r="AF92" s="6"/>
      <c r="AG92" s="6"/>
      <c r="AH92" s="6"/>
      <c r="AI92" s="6"/>
      <c r="AL92" s="6"/>
      <c r="AM92" s="6"/>
      <c r="AN92" s="6"/>
      <c r="AO92" s="6"/>
      <c r="AP92" s="6"/>
      <c r="AQ92" s="6"/>
      <c r="AR92" s="6"/>
      <c r="AS92" s="6"/>
      <c r="AT92" s="6"/>
    </row>
    <row r="93" spans="1:46" x14ac:dyDescent="0.2">
      <c r="A93" s="28">
        <v>6</v>
      </c>
      <c r="B93" s="25">
        <v>25</v>
      </c>
      <c r="C93" s="33">
        <v>0.08</v>
      </c>
      <c r="D93" s="33">
        <v>0.16</v>
      </c>
      <c r="E93" s="150">
        <v>0.24</v>
      </c>
      <c r="F93" s="150">
        <v>0.32</v>
      </c>
      <c r="G93" s="34">
        <v>0.4</v>
      </c>
      <c r="H93" s="34">
        <v>0.48</v>
      </c>
      <c r="I93" s="150">
        <v>0</v>
      </c>
      <c r="J93" s="7"/>
      <c r="K93" s="6"/>
      <c r="L93" s="6"/>
      <c r="M93" s="6"/>
      <c r="N93" s="6"/>
      <c r="O93" s="6"/>
      <c r="P93" s="6"/>
      <c r="Q93" s="6"/>
      <c r="R93" s="6"/>
      <c r="S93" s="6"/>
      <c r="T93" s="6"/>
      <c r="U93" s="6"/>
      <c r="V93" s="6"/>
      <c r="W93" s="6"/>
      <c r="X93" s="6"/>
      <c r="Y93" s="6"/>
      <c r="Z93" s="6"/>
      <c r="AA93" s="6"/>
      <c r="AB93" s="6"/>
      <c r="AC93" s="6"/>
      <c r="AD93" s="6"/>
      <c r="AE93" s="6"/>
      <c r="AF93" s="6"/>
      <c r="AG93" s="6"/>
      <c r="AH93" s="6"/>
      <c r="AI93" s="6"/>
      <c r="AL93" s="6"/>
      <c r="AM93" s="6"/>
      <c r="AN93" s="6"/>
      <c r="AO93" s="6"/>
      <c r="AP93" s="6"/>
      <c r="AQ93" s="6"/>
      <c r="AR93" s="6"/>
      <c r="AS93" s="6"/>
      <c r="AT93" s="6"/>
    </row>
    <row r="94" spans="1:46" x14ac:dyDescent="0.2">
      <c r="A94" s="28"/>
      <c r="B94" s="24"/>
      <c r="C94" s="6"/>
      <c r="D94" s="6"/>
      <c r="E94" s="6"/>
      <c r="F94" s="6"/>
      <c r="G94" s="6"/>
      <c r="H94" s="6"/>
      <c r="I94" s="6"/>
      <c r="J94" s="7"/>
      <c r="K94" s="6"/>
      <c r="L94" s="6"/>
      <c r="M94" s="6"/>
      <c r="N94" s="6"/>
      <c r="O94" s="6"/>
      <c r="P94" s="6"/>
      <c r="Q94" s="6"/>
      <c r="R94" s="6"/>
      <c r="S94" s="6"/>
      <c r="T94" s="6"/>
      <c r="U94" s="6"/>
      <c r="V94" s="6"/>
      <c r="W94" s="6"/>
      <c r="X94" s="6"/>
      <c r="Y94" s="6"/>
      <c r="Z94" s="6"/>
      <c r="AA94" s="6"/>
      <c r="AB94" s="6"/>
      <c r="AC94" s="6"/>
      <c r="AD94" s="6"/>
      <c r="AE94" s="6"/>
      <c r="AF94" s="6"/>
      <c r="AG94" s="6"/>
      <c r="AH94" s="6"/>
      <c r="AI94" s="6"/>
      <c r="AL94" s="6"/>
      <c r="AM94" s="6"/>
      <c r="AN94" s="6"/>
      <c r="AO94" s="6"/>
      <c r="AP94" s="6"/>
      <c r="AQ94" s="6"/>
      <c r="AR94" s="6"/>
      <c r="AS94" s="6"/>
      <c r="AT94" s="6"/>
    </row>
    <row r="95" spans="1:46" x14ac:dyDescent="0.2">
      <c r="A95" s="28"/>
      <c r="B95" s="6"/>
      <c r="C95" s="608" t="s">
        <v>479</v>
      </c>
      <c r="D95" s="609"/>
      <c r="E95" s="609"/>
      <c r="F95" s="609"/>
      <c r="G95" s="615"/>
      <c r="H95" s="147"/>
      <c r="I95" s="147"/>
      <c r="J95" s="7"/>
      <c r="K95" s="6"/>
      <c r="L95" s="6"/>
      <c r="M95" s="6"/>
      <c r="N95" s="6"/>
      <c r="O95" s="6"/>
      <c r="P95" s="6"/>
      <c r="Q95" s="6"/>
      <c r="R95" s="6"/>
      <c r="S95" s="6"/>
      <c r="T95" s="6"/>
      <c r="U95" s="6"/>
      <c r="V95" s="6"/>
      <c r="W95" s="6"/>
      <c r="X95" s="6"/>
      <c r="Y95" s="6"/>
      <c r="Z95" s="6"/>
      <c r="AA95" s="6"/>
      <c r="AB95" s="6"/>
      <c r="AC95" s="6"/>
      <c r="AD95" s="6"/>
      <c r="AE95" s="6"/>
      <c r="AF95" s="6"/>
      <c r="AG95" s="6"/>
      <c r="AH95" s="6"/>
      <c r="AI95" s="6"/>
      <c r="AL95" s="6"/>
      <c r="AM95" s="6"/>
      <c r="AN95" s="6"/>
      <c r="AO95" s="6"/>
      <c r="AP95" s="6"/>
      <c r="AQ95" s="6"/>
      <c r="AR95" s="6"/>
      <c r="AS95" s="6"/>
      <c r="AT95" s="6"/>
    </row>
    <row r="96" spans="1:46" x14ac:dyDescent="0.2">
      <c r="A96" s="28" t="s">
        <v>473</v>
      </c>
      <c r="B96" s="6"/>
      <c r="C96" s="213">
        <v>1</v>
      </c>
      <c r="D96" s="213">
        <v>2</v>
      </c>
      <c r="E96" s="213">
        <v>3</v>
      </c>
      <c r="F96" s="216">
        <v>0</v>
      </c>
      <c r="G96" s="202"/>
      <c r="H96" s="202"/>
      <c r="I96" s="6"/>
      <c r="J96" s="7"/>
      <c r="K96" s="6"/>
      <c r="L96" s="6"/>
      <c r="M96" s="6"/>
      <c r="N96" s="6"/>
      <c r="O96" s="6"/>
      <c r="P96" s="6"/>
      <c r="Q96" s="6"/>
      <c r="R96" s="6"/>
      <c r="S96" s="6"/>
      <c r="T96" s="6"/>
      <c r="U96" s="6"/>
      <c r="V96" s="6"/>
      <c r="W96" s="6"/>
      <c r="X96" s="6"/>
      <c r="Y96" s="6"/>
      <c r="Z96" s="6"/>
      <c r="AA96" s="6"/>
      <c r="AB96" s="6"/>
      <c r="AC96" s="6"/>
      <c r="AD96" s="6"/>
      <c r="AE96" s="6"/>
      <c r="AF96" s="6"/>
      <c r="AG96" s="6"/>
      <c r="AH96" s="6"/>
      <c r="AI96" s="6"/>
      <c r="AL96" s="6"/>
      <c r="AM96" s="6"/>
      <c r="AN96" s="6"/>
      <c r="AO96" s="6"/>
      <c r="AP96" s="6"/>
      <c r="AQ96" s="6"/>
      <c r="AR96" s="6"/>
      <c r="AS96" s="6"/>
      <c r="AT96" s="6"/>
    </row>
    <row r="97" spans="1:46" x14ac:dyDescent="0.2">
      <c r="A97" s="205"/>
      <c r="B97" s="25" t="s">
        <v>437</v>
      </c>
      <c r="C97" s="200" t="s">
        <v>66</v>
      </c>
      <c r="D97" s="49" t="s">
        <v>68</v>
      </c>
      <c r="E97" s="201" t="s">
        <v>438</v>
      </c>
      <c r="F97" s="149" t="s">
        <v>470</v>
      </c>
      <c r="G97" s="203"/>
      <c r="H97" s="22"/>
      <c r="I97" s="6"/>
      <c r="J97" s="7"/>
      <c r="K97" s="6"/>
      <c r="L97" s="6"/>
      <c r="M97" s="6"/>
      <c r="N97" s="6"/>
      <c r="O97" s="6"/>
      <c r="P97" s="6"/>
      <c r="Q97" s="6"/>
      <c r="R97" s="6"/>
      <c r="S97" s="6"/>
      <c r="T97" s="6"/>
      <c r="U97" s="6"/>
      <c r="V97" s="6"/>
      <c r="W97" s="6"/>
      <c r="X97" s="6"/>
      <c r="Y97" s="6"/>
      <c r="Z97" s="6"/>
      <c r="AA97" s="6"/>
      <c r="AB97" s="6"/>
      <c r="AC97" s="6"/>
      <c r="AD97" s="6"/>
      <c r="AE97" s="6"/>
      <c r="AF97" s="6"/>
      <c r="AG97" s="6"/>
      <c r="AH97" s="6"/>
      <c r="AI97" s="6"/>
      <c r="AL97" s="6"/>
      <c r="AM97" s="6"/>
      <c r="AN97" s="6"/>
      <c r="AO97" s="6"/>
      <c r="AP97" s="6"/>
      <c r="AQ97" s="6"/>
      <c r="AR97" s="6"/>
      <c r="AS97" s="6"/>
      <c r="AT97" s="6"/>
    </row>
    <row r="98" spans="1:46" x14ac:dyDescent="0.2">
      <c r="A98" s="28">
        <v>1</v>
      </c>
      <c r="B98" s="25">
        <v>1</v>
      </c>
      <c r="C98" s="31">
        <v>0.9</v>
      </c>
      <c r="D98" s="31">
        <v>1.4</v>
      </c>
      <c r="E98" s="126">
        <v>1.8</v>
      </c>
      <c r="F98" s="149">
        <v>0</v>
      </c>
      <c r="G98" s="6"/>
      <c r="H98" s="6"/>
      <c r="I98" s="6"/>
      <c r="J98" s="7"/>
      <c r="K98" s="6"/>
      <c r="L98" s="6"/>
      <c r="M98" s="6"/>
      <c r="N98" s="6"/>
      <c r="O98" s="6"/>
      <c r="P98" s="6"/>
      <c r="Q98" s="6"/>
      <c r="R98" s="6"/>
      <c r="S98" s="6"/>
      <c r="T98" s="6"/>
      <c r="U98" s="6"/>
      <c r="V98" s="6"/>
      <c r="W98" s="6"/>
      <c r="X98" s="6"/>
      <c r="Y98" s="6"/>
      <c r="Z98" s="6"/>
      <c r="AA98" s="6"/>
      <c r="AB98" s="6"/>
      <c r="AC98" s="6"/>
      <c r="AD98" s="6"/>
      <c r="AE98" s="6"/>
      <c r="AF98" s="6"/>
      <c r="AG98" s="6"/>
      <c r="AH98" s="6"/>
      <c r="AI98" s="6"/>
      <c r="AL98" s="6"/>
      <c r="AM98" s="6"/>
      <c r="AN98" s="6"/>
      <c r="AO98" s="6"/>
      <c r="AP98" s="6"/>
      <c r="AQ98" s="6"/>
      <c r="AR98" s="6"/>
      <c r="AS98" s="6"/>
      <c r="AT98" s="6"/>
    </row>
    <row r="99" spans="1:46" x14ac:dyDescent="0.2">
      <c r="A99" s="28">
        <v>2</v>
      </c>
      <c r="B99" s="25">
        <v>5</v>
      </c>
      <c r="C99" s="1">
        <v>0.6</v>
      </c>
      <c r="D99" s="1">
        <v>0.9</v>
      </c>
      <c r="E99" s="149">
        <v>1.2</v>
      </c>
      <c r="F99" s="192">
        <v>0</v>
      </c>
      <c r="G99" s="6"/>
      <c r="H99" s="6"/>
      <c r="I99" s="6"/>
      <c r="J99" s="7"/>
      <c r="K99" s="6"/>
      <c r="L99" s="6"/>
      <c r="M99" s="6"/>
      <c r="N99" s="6"/>
      <c r="O99" s="6"/>
      <c r="P99" s="6"/>
      <c r="Q99" s="6"/>
      <c r="R99" s="6"/>
      <c r="S99" s="6"/>
      <c r="T99" s="6"/>
      <c r="U99" s="6"/>
      <c r="V99" s="6"/>
      <c r="W99" s="6"/>
      <c r="X99" s="6"/>
      <c r="Y99" s="6"/>
      <c r="Z99" s="6"/>
      <c r="AA99" s="6"/>
      <c r="AB99" s="6"/>
      <c r="AC99" s="6"/>
      <c r="AD99" s="6"/>
      <c r="AE99" s="6"/>
      <c r="AF99" s="6"/>
      <c r="AG99" s="6"/>
      <c r="AH99" s="6"/>
      <c r="AI99" s="6"/>
      <c r="AL99" s="6"/>
      <c r="AM99" s="6"/>
      <c r="AN99" s="6"/>
      <c r="AO99" s="6"/>
      <c r="AP99" s="6"/>
      <c r="AQ99" s="6"/>
      <c r="AR99" s="6"/>
      <c r="AS99" s="6"/>
      <c r="AT99" s="6"/>
    </row>
    <row r="100" spans="1:46" x14ac:dyDescent="0.2">
      <c r="A100" s="28">
        <v>3</v>
      </c>
      <c r="B100" s="25">
        <v>10</v>
      </c>
      <c r="C100" s="1">
        <v>0.5</v>
      </c>
      <c r="D100" s="1">
        <v>0.8</v>
      </c>
      <c r="E100" s="149">
        <v>1</v>
      </c>
      <c r="F100" s="149">
        <v>0</v>
      </c>
      <c r="G100" s="6"/>
      <c r="H100" s="6"/>
      <c r="I100" s="6"/>
      <c r="J100" s="7"/>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L100" s="6"/>
      <c r="AM100" s="6"/>
      <c r="AN100" s="6"/>
      <c r="AO100" s="6"/>
      <c r="AP100" s="6"/>
      <c r="AQ100" s="6"/>
      <c r="AR100" s="6"/>
      <c r="AS100" s="6"/>
      <c r="AT100" s="6"/>
    </row>
    <row r="101" spans="1:46" x14ac:dyDescent="0.2">
      <c r="A101" s="28">
        <v>4</v>
      </c>
      <c r="B101" s="25">
        <v>15</v>
      </c>
      <c r="C101" s="1">
        <v>0.3</v>
      </c>
      <c r="D101" s="1">
        <v>0.5</v>
      </c>
      <c r="E101" s="149">
        <v>0.6</v>
      </c>
      <c r="F101" s="149">
        <v>0</v>
      </c>
      <c r="G101" s="6"/>
      <c r="H101" s="6"/>
      <c r="I101" s="6"/>
      <c r="J101" s="7"/>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L101" s="6"/>
      <c r="AM101" s="6"/>
      <c r="AN101" s="6"/>
      <c r="AO101" s="6"/>
      <c r="AP101" s="6"/>
      <c r="AQ101" s="6"/>
      <c r="AR101" s="6"/>
      <c r="AS101" s="6"/>
      <c r="AT101" s="6"/>
    </row>
    <row r="102" spans="1:46" x14ac:dyDescent="0.2">
      <c r="A102" s="28">
        <v>5</v>
      </c>
      <c r="B102" s="25">
        <v>20</v>
      </c>
      <c r="C102" s="1">
        <v>0.25</v>
      </c>
      <c r="D102" s="1">
        <v>0.4</v>
      </c>
      <c r="E102" s="149">
        <v>0.5</v>
      </c>
      <c r="F102" s="149">
        <v>0</v>
      </c>
      <c r="G102" s="6"/>
      <c r="H102" s="6"/>
      <c r="I102" s="6"/>
      <c r="J102" s="7"/>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L102" s="6"/>
      <c r="AM102" s="6"/>
      <c r="AN102" s="6"/>
      <c r="AO102" s="6"/>
      <c r="AP102" s="6"/>
      <c r="AQ102" s="6"/>
      <c r="AR102" s="6"/>
      <c r="AS102" s="6"/>
      <c r="AT102" s="6"/>
    </row>
    <row r="103" spans="1:46" x14ac:dyDescent="0.2">
      <c r="A103" s="28">
        <v>6</v>
      </c>
      <c r="B103" s="25">
        <v>25</v>
      </c>
      <c r="C103" s="33">
        <v>0.15</v>
      </c>
      <c r="D103" s="33">
        <v>0.25</v>
      </c>
      <c r="E103" s="150">
        <v>0.3</v>
      </c>
      <c r="F103" s="150">
        <v>0</v>
      </c>
      <c r="G103" s="6"/>
      <c r="H103" s="6"/>
      <c r="I103" s="6"/>
      <c r="J103" s="7"/>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L103" s="6"/>
      <c r="AM103" s="6"/>
      <c r="AN103" s="6"/>
      <c r="AO103" s="6"/>
      <c r="AP103" s="6"/>
      <c r="AQ103" s="6"/>
      <c r="AR103" s="6"/>
      <c r="AS103" s="6"/>
      <c r="AT103" s="6"/>
    </row>
    <row r="104" spans="1:46" x14ac:dyDescent="0.2">
      <c r="A104" s="28"/>
      <c r="B104" s="6"/>
      <c r="D104" s="6"/>
      <c r="E104" s="6"/>
      <c r="F104" s="6"/>
      <c r="G104" s="6"/>
      <c r="H104" s="6"/>
      <c r="I104" s="6"/>
      <c r="J104" s="7"/>
      <c r="M104" s="6"/>
      <c r="N104" s="6"/>
      <c r="O104" s="6"/>
      <c r="P104" s="6"/>
      <c r="Q104" s="6"/>
      <c r="R104" s="6"/>
      <c r="S104" s="6"/>
      <c r="T104" s="6"/>
      <c r="U104" s="6"/>
      <c r="V104" s="6"/>
      <c r="W104" s="6"/>
      <c r="X104" s="6"/>
      <c r="Y104" s="6"/>
      <c r="Z104" s="6"/>
      <c r="AA104" s="6"/>
      <c r="AB104" s="6"/>
      <c r="AC104" s="6"/>
      <c r="AD104" s="6"/>
      <c r="AE104" s="6"/>
      <c r="AF104" s="6"/>
      <c r="AG104" s="6"/>
      <c r="AH104" s="6"/>
      <c r="AI104" s="6"/>
      <c r="AL104" s="6"/>
      <c r="AM104" s="6"/>
      <c r="AN104" s="6"/>
      <c r="AO104" s="6"/>
      <c r="AP104" s="6"/>
      <c r="AQ104" s="6"/>
      <c r="AR104" s="6"/>
      <c r="AS104" s="6"/>
      <c r="AT104" s="6"/>
    </row>
    <row r="105" spans="1:46" x14ac:dyDescent="0.2">
      <c r="A105" s="327"/>
      <c r="B105" s="305"/>
      <c r="C105" s="631" t="s">
        <v>603</v>
      </c>
      <c r="D105" s="577"/>
      <c r="E105" s="577"/>
      <c r="F105" s="577"/>
      <c r="G105" s="577"/>
      <c r="H105" s="577"/>
      <c r="I105" s="577"/>
      <c r="J105" s="632"/>
      <c r="M105" s="6"/>
      <c r="N105" s="6"/>
      <c r="O105" s="6"/>
      <c r="P105" s="6"/>
      <c r="Q105" s="6"/>
      <c r="R105" s="6"/>
      <c r="S105" s="6"/>
      <c r="T105" s="6"/>
      <c r="U105" s="6"/>
      <c r="V105" s="6"/>
      <c r="W105" s="6"/>
      <c r="X105" s="6"/>
      <c r="Y105" s="6"/>
      <c r="Z105" s="6"/>
      <c r="AA105" s="6"/>
      <c r="AB105" s="6"/>
      <c r="AC105" s="6"/>
      <c r="AD105" s="6"/>
      <c r="AE105" s="6"/>
      <c r="AF105" s="6"/>
      <c r="AG105" s="6"/>
      <c r="AH105" s="6"/>
      <c r="AI105" s="6"/>
      <c r="AL105" s="6"/>
      <c r="AM105" s="6"/>
      <c r="AN105" s="6"/>
      <c r="AO105" s="6"/>
      <c r="AP105" s="6"/>
      <c r="AQ105" s="6"/>
      <c r="AR105" s="6"/>
      <c r="AS105" s="6"/>
      <c r="AT105" s="6"/>
    </row>
    <row r="106" spans="1:46" x14ac:dyDescent="0.2">
      <c r="A106" s="327" t="s">
        <v>604</v>
      </c>
      <c r="B106" s="306"/>
      <c r="C106" s="303">
        <v>1</v>
      </c>
      <c r="D106" s="303">
        <v>2</v>
      </c>
      <c r="E106" s="303">
        <v>3</v>
      </c>
      <c r="F106" s="307">
        <v>4</v>
      </c>
      <c r="G106" s="308">
        <v>5</v>
      </c>
      <c r="H106" s="309">
        <v>6</v>
      </c>
      <c r="I106" s="309">
        <v>7</v>
      </c>
      <c r="J106" s="328">
        <v>0</v>
      </c>
      <c r="M106" s="6"/>
      <c r="N106" s="6"/>
      <c r="O106" s="6"/>
      <c r="P106" s="6"/>
      <c r="Q106" s="6"/>
      <c r="R106" s="6"/>
      <c r="S106" s="6"/>
      <c r="T106" s="6"/>
      <c r="U106" s="6"/>
      <c r="V106" s="6"/>
      <c r="W106" s="6"/>
      <c r="X106" s="6"/>
      <c r="Y106" s="6"/>
      <c r="Z106" s="6"/>
      <c r="AA106" s="6"/>
      <c r="AB106" s="6"/>
      <c r="AC106" s="6"/>
      <c r="AD106" s="6"/>
      <c r="AE106" s="6"/>
      <c r="AF106" s="6"/>
      <c r="AG106" s="6"/>
      <c r="AH106" s="6"/>
      <c r="AI106" s="6"/>
      <c r="AL106" s="6"/>
      <c r="AM106" s="6"/>
      <c r="AN106" s="6"/>
      <c r="AO106" s="6"/>
      <c r="AP106" s="6"/>
      <c r="AQ106" s="6"/>
      <c r="AR106" s="6"/>
      <c r="AS106" s="6"/>
      <c r="AT106" s="6"/>
    </row>
    <row r="107" spans="1:46" s="6" customFormat="1" x14ac:dyDescent="0.2">
      <c r="A107" s="327"/>
      <c r="B107" s="310" t="s">
        <v>437</v>
      </c>
      <c r="C107" s="311" t="s">
        <v>605</v>
      </c>
      <c r="D107" s="304" t="s">
        <v>475</v>
      </c>
      <c r="E107" s="303" t="s">
        <v>55</v>
      </c>
      <c r="F107" s="304" t="s">
        <v>63</v>
      </c>
      <c r="G107" s="303" t="s">
        <v>66</v>
      </c>
      <c r="H107" s="304" t="s">
        <v>67</v>
      </c>
      <c r="I107" s="303" t="s">
        <v>68</v>
      </c>
      <c r="J107" s="329" t="s">
        <v>470</v>
      </c>
    </row>
    <row r="108" spans="1:46" x14ac:dyDescent="0.2">
      <c r="A108" s="331">
        <v>1</v>
      </c>
      <c r="B108" s="26">
        <v>0.5</v>
      </c>
      <c r="C108" s="312">
        <v>6</v>
      </c>
      <c r="D108" s="313">
        <v>12</v>
      </c>
      <c r="E108" s="313">
        <v>24</v>
      </c>
      <c r="F108" s="314">
        <v>36</v>
      </c>
      <c r="G108" s="315">
        <v>48</v>
      </c>
      <c r="H108" s="316">
        <v>60</v>
      </c>
      <c r="I108" s="317">
        <v>72</v>
      </c>
      <c r="J108" s="332">
        <v>0</v>
      </c>
      <c r="M108" s="6"/>
      <c r="N108" s="6"/>
      <c r="O108" s="6"/>
      <c r="P108" s="6"/>
      <c r="Q108" s="6"/>
      <c r="R108" s="6"/>
      <c r="S108" s="6"/>
      <c r="T108" s="6"/>
      <c r="U108" s="6"/>
      <c r="V108" s="6"/>
      <c r="W108" s="6"/>
      <c r="X108" s="6"/>
      <c r="Y108" s="6"/>
      <c r="Z108" s="6"/>
      <c r="AA108" s="6"/>
      <c r="AB108" s="6"/>
      <c r="AC108" s="6"/>
      <c r="AD108" s="6"/>
      <c r="AE108" s="6"/>
      <c r="AF108" s="6"/>
      <c r="AG108" s="6"/>
      <c r="AH108" s="6"/>
      <c r="AI108" s="6"/>
      <c r="AL108" s="6"/>
      <c r="AM108" s="6"/>
      <c r="AN108" s="6"/>
      <c r="AO108" s="6"/>
      <c r="AP108" s="6"/>
      <c r="AQ108" s="6"/>
      <c r="AR108" s="6"/>
      <c r="AS108" s="6"/>
      <c r="AT108" s="6"/>
    </row>
    <row r="109" spans="1:46" x14ac:dyDescent="0.2">
      <c r="A109" s="331">
        <v>2</v>
      </c>
      <c r="B109" s="310">
        <v>1</v>
      </c>
      <c r="C109" s="318">
        <v>5.8</v>
      </c>
      <c r="D109" s="319">
        <v>12</v>
      </c>
      <c r="E109" s="319">
        <v>23</v>
      </c>
      <c r="F109" s="314">
        <v>35</v>
      </c>
      <c r="G109" s="315">
        <v>46</v>
      </c>
      <c r="H109" s="315">
        <v>58</v>
      </c>
      <c r="I109" s="320">
        <v>69</v>
      </c>
      <c r="J109" s="332">
        <v>0</v>
      </c>
      <c r="M109" s="6"/>
      <c r="N109" s="6"/>
      <c r="O109" s="6"/>
      <c r="P109" s="6"/>
      <c r="Q109" s="6"/>
      <c r="R109" s="6"/>
      <c r="S109" s="6"/>
      <c r="T109" s="6"/>
      <c r="U109" s="6"/>
      <c r="V109" s="6"/>
      <c r="W109" s="6"/>
      <c r="X109" s="6"/>
      <c r="Y109" s="6"/>
      <c r="Z109" s="6"/>
      <c r="AA109" s="6"/>
      <c r="AB109" s="6"/>
      <c r="AC109" s="6"/>
      <c r="AD109" s="6"/>
      <c r="AE109" s="6"/>
      <c r="AF109" s="6"/>
      <c r="AG109" s="6"/>
      <c r="AH109" s="6"/>
      <c r="AI109" s="6"/>
      <c r="AL109" s="6"/>
      <c r="AM109" s="6"/>
      <c r="AN109" s="6"/>
      <c r="AO109" s="6"/>
      <c r="AP109" s="6"/>
      <c r="AQ109" s="6"/>
      <c r="AR109" s="6"/>
      <c r="AS109" s="6"/>
      <c r="AT109" s="6"/>
    </row>
    <row r="110" spans="1:46" x14ac:dyDescent="0.2">
      <c r="A110" s="331">
        <v>3</v>
      </c>
      <c r="B110" s="310">
        <v>2</v>
      </c>
      <c r="C110" s="318">
        <v>5.2</v>
      </c>
      <c r="D110" s="319">
        <v>10</v>
      </c>
      <c r="E110" s="319">
        <v>21</v>
      </c>
      <c r="F110" s="314">
        <v>31</v>
      </c>
      <c r="G110" s="315">
        <v>42</v>
      </c>
      <c r="H110" s="315">
        <v>52</v>
      </c>
      <c r="I110" s="320">
        <v>63</v>
      </c>
      <c r="J110" s="332">
        <v>0</v>
      </c>
      <c r="M110" s="6"/>
      <c r="N110" s="6"/>
      <c r="O110" s="6"/>
      <c r="P110" s="6"/>
      <c r="Q110" s="6"/>
      <c r="R110" s="6"/>
      <c r="S110" s="6"/>
      <c r="T110" s="6"/>
      <c r="U110" s="6"/>
      <c r="V110" s="6"/>
      <c r="W110" s="6"/>
      <c r="X110" s="6"/>
      <c r="Y110" s="6"/>
      <c r="Z110" s="6"/>
      <c r="AA110" s="6"/>
      <c r="AB110" s="6"/>
      <c r="AC110" s="6"/>
      <c r="AD110" s="6"/>
      <c r="AE110" s="6"/>
      <c r="AF110" s="6"/>
      <c r="AG110" s="6"/>
      <c r="AH110" s="6"/>
      <c r="AI110" s="6"/>
      <c r="AL110" s="6"/>
      <c r="AM110" s="6"/>
      <c r="AN110" s="6"/>
      <c r="AO110" s="6"/>
      <c r="AP110" s="6"/>
      <c r="AQ110" s="6"/>
      <c r="AR110" s="6"/>
      <c r="AS110" s="6"/>
      <c r="AT110" s="6"/>
    </row>
    <row r="111" spans="1:46" x14ac:dyDescent="0.2">
      <c r="A111" s="331">
        <v>4</v>
      </c>
      <c r="B111" s="310">
        <v>3</v>
      </c>
      <c r="C111" s="318">
        <v>4.8</v>
      </c>
      <c r="D111" s="319">
        <v>9.5</v>
      </c>
      <c r="E111" s="319">
        <v>19</v>
      </c>
      <c r="F111" s="314">
        <v>29</v>
      </c>
      <c r="G111" s="315">
        <v>38</v>
      </c>
      <c r="H111" s="315">
        <v>48</v>
      </c>
      <c r="I111" s="320">
        <v>57</v>
      </c>
      <c r="J111" s="332">
        <v>0</v>
      </c>
      <c r="M111" s="6"/>
      <c r="N111" s="6"/>
      <c r="O111" s="6"/>
      <c r="P111" s="6"/>
      <c r="Q111" s="6"/>
      <c r="R111" s="6"/>
      <c r="S111" s="6"/>
      <c r="T111" s="6"/>
      <c r="U111" s="6"/>
      <c r="V111" s="6"/>
      <c r="W111" s="6"/>
      <c r="X111" s="6"/>
      <c r="Y111" s="6"/>
      <c r="Z111" s="6"/>
      <c r="AA111" s="6"/>
      <c r="AB111" s="6"/>
      <c r="AC111" s="6"/>
      <c r="AD111" s="6"/>
      <c r="AE111" s="6"/>
      <c r="AF111" s="6"/>
      <c r="AG111" s="6"/>
      <c r="AH111" s="6"/>
      <c r="AI111" s="6"/>
      <c r="AL111" s="6"/>
      <c r="AM111" s="6"/>
      <c r="AN111" s="6"/>
      <c r="AO111" s="6"/>
      <c r="AP111" s="6"/>
      <c r="AQ111" s="6"/>
      <c r="AR111" s="6"/>
      <c r="AS111" s="6"/>
      <c r="AT111" s="6"/>
    </row>
    <row r="112" spans="1:46" x14ac:dyDescent="0.2">
      <c r="A112" s="331">
        <v>5</v>
      </c>
      <c r="B112" s="310">
        <v>5</v>
      </c>
      <c r="C112" s="318">
        <v>4</v>
      </c>
      <c r="D112" s="319">
        <v>7.9</v>
      </c>
      <c r="E112" s="319">
        <v>16</v>
      </c>
      <c r="F112" s="314">
        <v>24</v>
      </c>
      <c r="G112" s="315">
        <v>32</v>
      </c>
      <c r="H112" s="315">
        <v>40</v>
      </c>
      <c r="I112" s="320">
        <v>47</v>
      </c>
      <c r="J112" s="332">
        <v>0</v>
      </c>
      <c r="M112" s="6"/>
      <c r="N112" s="6"/>
      <c r="O112" s="6"/>
      <c r="P112" s="6"/>
      <c r="Q112" s="6"/>
      <c r="R112" s="6"/>
      <c r="S112" s="6"/>
      <c r="T112" s="6"/>
      <c r="U112" s="6"/>
      <c r="V112" s="6"/>
      <c r="W112" s="6"/>
      <c r="X112" s="6"/>
      <c r="Y112" s="6"/>
      <c r="Z112" s="6"/>
      <c r="AA112" s="6"/>
      <c r="AB112" s="6"/>
      <c r="AC112" s="6"/>
      <c r="AD112" s="6"/>
      <c r="AE112" s="6"/>
      <c r="AF112" s="6"/>
      <c r="AG112" s="6"/>
      <c r="AH112" s="6"/>
      <c r="AI112" s="6"/>
      <c r="AL112" s="6"/>
      <c r="AM112" s="6"/>
      <c r="AN112" s="6"/>
      <c r="AO112" s="6"/>
      <c r="AP112" s="6"/>
      <c r="AQ112" s="6"/>
      <c r="AR112" s="6"/>
      <c r="AS112" s="6"/>
      <c r="AT112" s="6"/>
    </row>
    <row r="113" spans="1:46" x14ac:dyDescent="0.2">
      <c r="A113" s="331">
        <v>6</v>
      </c>
      <c r="B113" s="321">
        <v>7</v>
      </c>
      <c r="C113" s="314">
        <v>3.3</v>
      </c>
      <c r="D113" s="318">
        <v>6.5</v>
      </c>
      <c r="E113" s="318">
        <v>13</v>
      </c>
      <c r="F113" s="319">
        <v>20</v>
      </c>
      <c r="G113" s="315">
        <v>26</v>
      </c>
      <c r="H113" s="315">
        <v>33</v>
      </c>
      <c r="I113" s="320">
        <v>39</v>
      </c>
      <c r="J113" s="332">
        <v>0</v>
      </c>
      <c r="M113" s="6"/>
      <c r="N113" s="6"/>
      <c r="O113" s="6"/>
      <c r="P113" s="6"/>
      <c r="Q113" s="6"/>
      <c r="R113" s="6"/>
      <c r="S113" s="6"/>
      <c r="T113" s="6"/>
      <c r="U113" s="6"/>
      <c r="V113" s="6"/>
      <c r="W113" s="6"/>
      <c r="X113" s="6"/>
      <c r="Y113" s="6"/>
      <c r="Z113" s="6"/>
      <c r="AA113" s="6"/>
      <c r="AB113" s="6"/>
      <c r="AC113" s="6"/>
      <c r="AD113" s="6"/>
      <c r="AE113" s="6"/>
      <c r="AF113" s="6"/>
      <c r="AG113" s="6"/>
      <c r="AH113" s="6"/>
      <c r="AI113" s="6"/>
      <c r="AL113" s="6"/>
      <c r="AM113" s="6"/>
      <c r="AN113" s="6"/>
      <c r="AO113" s="6"/>
      <c r="AP113" s="6"/>
      <c r="AQ113" s="6"/>
      <c r="AR113" s="6"/>
      <c r="AS113" s="6"/>
      <c r="AT113" s="6"/>
    </row>
    <row r="114" spans="1:46" x14ac:dyDescent="0.2">
      <c r="A114" s="331">
        <v>7</v>
      </c>
      <c r="B114" s="310">
        <v>10</v>
      </c>
      <c r="C114" s="314">
        <v>2.5</v>
      </c>
      <c r="D114" s="318">
        <v>4.9000000000000004</v>
      </c>
      <c r="E114" s="318">
        <v>9.9</v>
      </c>
      <c r="F114" s="319">
        <v>15</v>
      </c>
      <c r="G114" s="315">
        <v>20</v>
      </c>
      <c r="H114" s="315">
        <v>25</v>
      </c>
      <c r="I114" s="320">
        <v>30</v>
      </c>
      <c r="J114" s="332">
        <v>0</v>
      </c>
      <c r="M114" s="6"/>
      <c r="N114" s="6"/>
      <c r="O114" s="6"/>
      <c r="P114" s="6"/>
      <c r="Q114" s="6"/>
      <c r="R114" s="6"/>
      <c r="S114" s="6"/>
      <c r="T114" s="6"/>
      <c r="U114" s="6"/>
      <c r="V114" s="6"/>
      <c r="W114" s="6"/>
      <c r="X114" s="6"/>
      <c r="Y114" s="6"/>
      <c r="Z114" s="6"/>
      <c r="AA114" s="6"/>
      <c r="AB114" s="6"/>
      <c r="AC114" s="6"/>
      <c r="AD114" s="6"/>
      <c r="AE114" s="6"/>
      <c r="AF114" s="6"/>
      <c r="AG114" s="6"/>
      <c r="AH114" s="6"/>
      <c r="AI114" s="6"/>
      <c r="AL114" s="6"/>
      <c r="AM114" s="6"/>
      <c r="AN114" s="6"/>
      <c r="AO114" s="6"/>
      <c r="AP114" s="6"/>
      <c r="AQ114" s="6"/>
      <c r="AR114" s="6"/>
      <c r="AS114" s="6"/>
      <c r="AT114" s="6"/>
    </row>
    <row r="115" spans="1:46" x14ac:dyDescent="0.2">
      <c r="A115" s="331">
        <v>8</v>
      </c>
      <c r="B115" s="310">
        <v>15</v>
      </c>
      <c r="C115" s="314">
        <v>1.6</v>
      </c>
      <c r="D115" s="318">
        <v>3.1</v>
      </c>
      <c r="E115" s="318">
        <v>6.2</v>
      </c>
      <c r="F115" s="319">
        <v>9.3000000000000007</v>
      </c>
      <c r="G115" s="315">
        <v>12</v>
      </c>
      <c r="H115" s="315">
        <v>16</v>
      </c>
      <c r="I115" s="320">
        <v>19</v>
      </c>
      <c r="J115" s="332">
        <v>0</v>
      </c>
      <c r="M115" s="6"/>
      <c r="N115" s="6"/>
      <c r="O115" s="6"/>
      <c r="P115" s="6"/>
      <c r="Q115" s="6"/>
      <c r="R115" s="6"/>
      <c r="S115" s="6"/>
      <c r="T115" s="6"/>
      <c r="U115" s="6"/>
      <c r="V115" s="6"/>
      <c r="W115" s="6"/>
      <c r="X115" s="6"/>
      <c r="Y115" s="6"/>
      <c r="Z115" s="6"/>
      <c r="AA115" s="6"/>
      <c r="AB115" s="6"/>
      <c r="AC115" s="6"/>
      <c r="AD115" s="6"/>
      <c r="AE115" s="6"/>
      <c r="AF115" s="6"/>
      <c r="AG115" s="6"/>
      <c r="AH115" s="6"/>
      <c r="AI115" s="6"/>
      <c r="AL115" s="6"/>
      <c r="AM115" s="6"/>
      <c r="AN115" s="6"/>
      <c r="AO115" s="6"/>
      <c r="AP115" s="6"/>
      <c r="AQ115" s="6"/>
      <c r="AR115" s="6"/>
      <c r="AS115" s="6"/>
      <c r="AT115" s="6"/>
    </row>
    <row r="116" spans="1:46" x14ac:dyDescent="0.2">
      <c r="A116" s="331">
        <v>9</v>
      </c>
      <c r="B116" s="321">
        <v>20</v>
      </c>
      <c r="C116" s="314">
        <v>1</v>
      </c>
      <c r="D116" s="318">
        <v>2</v>
      </c>
      <c r="E116" s="318">
        <v>3.9</v>
      </c>
      <c r="F116" s="319">
        <v>5.9</v>
      </c>
      <c r="G116" s="315">
        <v>7.8</v>
      </c>
      <c r="H116" s="315">
        <v>9.8000000000000007</v>
      </c>
      <c r="I116" s="320">
        <v>12</v>
      </c>
      <c r="J116" s="332">
        <v>0</v>
      </c>
      <c r="M116" s="6"/>
      <c r="N116" s="6"/>
      <c r="O116" s="6"/>
      <c r="P116" s="6"/>
      <c r="Q116" s="6"/>
      <c r="R116" s="6"/>
      <c r="S116" s="6"/>
      <c r="T116" s="6"/>
      <c r="U116" s="6"/>
      <c r="V116" s="6"/>
      <c r="W116" s="6"/>
      <c r="X116" s="6"/>
      <c r="Y116" s="6"/>
      <c r="Z116" s="6"/>
      <c r="AA116" s="6"/>
      <c r="AB116" s="6"/>
      <c r="AC116" s="6"/>
      <c r="AD116" s="6"/>
      <c r="AE116" s="6"/>
      <c r="AF116" s="6"/>
      <c r="AG116" s="6"/>
      <c r="AH116" s="6"/>
      <c r="AI116" s="6"/>
      <c r="AL116" s="6"/>
      <c r="AM116" s="6"/>
      <c r="AN116" s="6"/>
      <c r="AO116" s="6"/>
      <c r="AP116" s="6"/>
      <c r="AQ116" s="6"/>
      <c r="AR116" s="6"/>
      <c r="AS116" s="6"/>
      <c r="AT116" s="6"/>
    </row>
    <row r="117" spans="1:46" x14ac:dyDescent="0.2">
      <c r="A117" s="331">
        <v>10</v>
      </c>
      <c r="B117" s="321">
        <v>25</v>
      </c>
      <c r="C117" s="314">
        <v>0.6</v>
      </c>
      <c r="D117" s="318">
        <v>1.2</v>
      </c>
      <c r="E117" s="318">
        <v>2.5</v>
      </c>
      <c r="F117" s="319">
        <v>3.7</v>
      </c>
      <c r="G117" s="315">
        <v>4.9000000000000004</v>
      </c>
      <c r="H117" s="315">
        <v>6.2</v>
      </c>
      <c r="I117" s="320">
        <v>7.4</v>
      </c>
      <c r="J117" s="332">
        <v>0</v>
      </c>
      <c r="M117" s="6"/>
      <c r="N117" s="6"/>
      <c r="O117" s="6"/>
      <c r="P117" s="6"/>
      <c r="Q117" s="6"/>
      <c r="R117" s="6"/>
      <c r="S117" s="6"/>
      <c r="T117" s="6"/>
      <c r="U117" s="6"/>
      <c r="V117" s="6"/>
      <c r="W117" s="6"/>
      <c r="X117" s="6"/>
      <c r="Y117" s="6"/>
      <c r="Z117" s="6"/>
      <c r="AA117" s="6"/>
      <c r="AB117" s="6"/>
      <c r="AC117" s="6"/>
      <c r="AD117" s="6"/>
      <c r="AE117" s="6"/>
      <c r="AF117" s="6"/>
      <c r="AG117" s="6"/>
      <c r="AH117" s="6"/>
      <c r="AI117" s="6"/>
      <c r="AL117" s="6"/>
      <c r="AM117" s="6"/>
      <c r="AN117" s="6"/>
      <c r="AO117" s="6"/>
      <c r="AP117" s="6"/>
      <c r="AQ117" s="6"/>
      <c r="AR117" s="6"/>
      <c r="AS117" s="6"/>
      <c r="AT117" s="6"/>
    </row>
    <row r="118" spans="1:46" x14ac:dyDescent="0.2">
      <c r="A118" s="331">
        <v>11</v>
      </c>
      <c r="B118" s="321">
        <v>30</v>
      </c>
      <c r="C118" s="322">
        <v>0.39</v>
      </c>
      <c r="D118" s="323">
        <v>0.78</v>
      </c>
      <c r="E118" s="323">
        <v>1.6</v>
      </c>
      <c r="F118" s="324">
        <v>2.4</v>
      </c>
      <c r="G118" s="325">
        <v>3.1</v>
      </c>
      <c r="H118" s="325">
        <v>3.9</v>
      </c>
      <c r="I118" s="326">
        <v>4.7</v>
      </c>
      <c r="J118" s="333">
        <v>0</v>
      </c>
      <c r="M118" s="6"/>
      <c r="N118" s="6"/>
      <c r="O118" s="6"/>
      <c r="P118" s="6"/>
      <c r="Q118" s="6"/>
      <c r="R118" s="6"/>
      <c r="S118" s="6"/>
      <c r="T118" s="6"/>
      <c r="U118" s="6"/>
      <c r="V118" s="6"/>
      <c r="W118" s="6"/>
      <c r="X118" s="6"/>
      <c r="Y118" s="6"/>
      <c r="Z118" s="6"/>
      <c r="AA118" s="6"/>
      <c r="AB118" s="6"/>
      <c r="AC118" s="6"/>
      <c r="AD118" s="6"/>
      <c r="AE118" s="6"/>
      <c r="AF118" s="6"/>
      <c r="AG118" s="6"/>
      <c r="AH118" s="6"/>
      <c r="AI118" s="6"/>
      <c r="AL118" s="6"/>
      <c r="AM118" s="6"/>
      <c r="AN118" s="6"/>
      <c r="AO118" s="6"/>
      <c r="AP118" s="6"/>
      <c r="AQ118" s="6"/>
      <c r="AR118" s="6"/>
      <c r="AS118" s="6"/>
      <c r="AT118" s="6"/>
    </row>
    <row r="119" spans="1:46" ht="13.5" thickBot="1" x14ac:dyDescent="0.25">
      <c r="A119" s="29"/>
      <c r="B119" s="206"/>
      <c r="C119" s="9"/>
      <c r="D119" s="9"/>
      <c r="E119" s="9"/>
      <c r="F119" s="9"/>
      <c r="G119" s="9"/>
      <c r="H119" s="9"/>
      <c r="I119" s="9"/>
      <c r="J119" s="10"/>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L119" s="6"/>
      <c r="AM119" s="6"/>
      <c r="AN119" s="6"/>
      <c r="AO119" s="6"/>
      <c r="AP119" s="6"/>
      <c r="AQ119" s="6"/>
      <c r="AR119" s="6"/>
      <c r="AS119" s="6"/>
      <c r="AT119" s="6"/>
    </row>
    <row r="120" spans="1:46" x14ac:dyDescent="0.2">
      <c r="B120" s="2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L120" s="6"/>
      <c r="AM120" s="6"/>
      <c r="AN120" s="6"/>
      <c r="AO120" s="6"/>
      <c r="AP120" s="6"/>
      <c r="AQ120" s="6"/>
      <c r="AR120" s="6"/>
      <c r="AS120" s="6"/>
      <c r="AT120" s="6"/>
    </row>
    <row r="121" spans="1:46" ht="13.5" thickBo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L121" s="6"/>
      <c r="AM121" s="6"/>
      <c r="AN121" s="6"/>
      <c r="AO121" s="6"/>
      <c r="AP121" s="6"/>
      <c r="AQ121" s="6"/>
      <c r="AR121" s="6"/>
      <c r="AS121" s="6"/>
      <c r="AT121" s="6"/>
    </row>
    <row r="122" spans="1:46" x14ac:dyDescent="0.2">
      <c r="A122" s="27"/>
      <c r="B122" s="204"/>
      <c r="C122" s="4"/>
      <c r="D122" s="4"/>
      <c r="E122" s="4"/>
      <c r="F122" s="4"/>
      <c r="G122" s="4"/>
      <c r="H122" s="4"/>
      <c r="I122" s="4"/>
      <c r="J122" s="5"/>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L122" s="6"/>
      <c r="AM122" s="6"/>
      <c r="AN122" s="6"/>
      <c r="AO122" s="6"/>
      <c r="AP122" s="6"/>
      <c r="AQ122" s="6"/>
      <c r="AR122" s="6"/>
      <c r="AS122" s="6"/>
      <c r="AT122" s="6"/>
    </row>
    <row r="123" spans="1:46" x14ac:dyDescent="0.2">
      <c r="A123" s="28"/>
      <c r="B123" s="6"/>
      <c r="C123" s="608" t="s">
        <v>480</v>
      </c>
      <c r="D123" s="609"/>
      <c r="E123" s="609"/>
      <c r="F123" s="609"/>
      <c r="G123" s="609"/>
      <c r="H123" s="609"/>
      <c r="I123" s="615"/>
      <c r="J123" s="7"/>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L123" s="6"/>
      <c r="AM123" s="6"/>
      <c r="AN123" s="6"/>
      <c r="AO123" s="6"/>
      <c r="AP123" s="6"/>
      <c r="AQ123" s="6"/>
      <c r="AR123" s="6"/>
      <c r="AS123" s="6"/>
      <c r="AT123" s="6"/>
    </row>
    <row r="124" spans="1:46" x14ac:dyDescent="0.2">
      <c r="A124" s="28" t="s">
        <v>474</v>
      </c>
      <c r="B124" s="6"/>
      <c r="C124" s="213">
        <v>1</v>
      </c>
      <c r="D124" s="213">
        <v>2</v>
      </c>
      <c r="E124" s="213">
        <v>3</v>
      </c>
      <c r="F124" s="214">
        <v>4</v>
      </c>
      <c r="G124" s="214">
        <v>5</v>
      </c>
      <c r="H124" s="215">
        <v>6</v>
      </c>
      <c r="I124" s="216">
        <v>0</v>
      </c>
      <c r="J124" s="7"/>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L124" s="6"/>
      <c r="AM124" s="6"/>
      <c r="AN124" s="6"/>
      <c r="AO124" s="6"/>
      <c r="AP124" s="6"/>
      <c r="AQ124" s="6"/>
      <c r="AR124" s="6"/>
      <c r="AS124" s="6"/>
      <c r="AT124" s="6"/>
    </row>
    <row r="125" spans="1:46" x14ac:dyDescent="0.2">
      <c r="A125" s="205"/>
      <c r="B125" s="25" t="s">
        <v>437</v>
      </c>
      <c r="C125" s="199" t="s">
        <v>475</v>
      </c>
      <c r="D125" s="49" t="s">
        <v>55</v>
      </c>
      <c r="E125" s="198" t="s">
        <v>63</v>
      </c>
      <c r="F125" s="145" t="s">
        <v>66</v>
      </c>
      <c r="G125" s="198" t="s">
        <v>67</v>
      </c>
      <c r="H125" s="145" t="s">
        <v>68</v>
      </c>
      <c r="I125" s="149" t="s">
        <v>470</v>
      </c>
      <c r="J125" s="7"/>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L125" s="6"/>
      <c r="AM125" s="6"/>
      <c r="AN125" s="6"/>
      <c r="AO125" s="6"/>
      <c r="AP125" s="6"/>
      <c r="AQ125" s="6"/>
      <c r="AR125" s="6"/>
      <c r="AS125" s="6"/>
      <c r="AT125" s="6"/>
    </row>
    <row r="126" spans="1:46" x14ac:dyDescent="0.2">
      <c r="A126" s="28">
        <v>1</v>
      </c>
      <c r="B126" s="25">
        <v>1</v>
      </c>
      <c r="C126" s="31">
        <v>635</v>
      </c>
      <c r="D126" s="31">
        <v>1270</v>
      </c>
      <c r="E126" s="126">
        <v>1900</v>
      </c>
      <c r="F126" s="126">
        <v>2535</v>
      </c>
      <c r="G126" s="32">
        <v>3170</v>
      </c>
      <c r="H126" s="32">
        <v>3800</v>
      </c>
      <c r="I126" s="149">
        <v>0</v>
      </c>
      <c r="J126" s="7"/>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L126" s="6"/>
      <c r="AM126" s="6"/>
      <c r="AN126" s="6"/>
      <c r="AO126" s="6"/>
      <c r="AP126" s="6"/>
      <c r="AQ126" s="6"/>
      <c r="AR126" s="6"/>
      <c r="AS126" s="6"/>
      <c r="AT126" s="6"/>
    </row>
    <row r="127" spans="1:46" s="6" customFormat="1" x14ac:dyDescent="0.2">
      <c r="A127" s="28">
        <v>2</v>
      </c>
      <c r="B127" s="25">
        <v>5</v>
      </c>
      <c r="C127" s="1">
        <v>365</v>
      </c>
      <c r="D127" s="1">
        <v>735</v>
      </c>
      <c r="E127" s="149">
        <v>1100</v>
      </c>
      <c r="F127" s="149">
        <v>1470</v>
      </c>
      <c r="G127" s="2">
        <v>1830</v>
      </c>
      <c r="H127" s="2">
        <v>2200</v>
      </c>
      <c r="I127" s="192">
        <v>0</v>
      </c>
      <c r="J127" s="7"/>
    </row>
    <row r="128" spans="1:46" s="6" customFormat="1" x14ac:dyDescent="0.2">
      <c r="A128" s="28">
        <v>3</v>
      </c>
      <c r="B128" s="25">
        <v>10</v>
      </c>
      <c r="C128" s="1">
        <v>310</v>
      </c>
      <c r="D128" s="1">
        <v>615</v>
      </c>
      <c r="E128" s="149">
        <v>930</v>
      </c>
      <c r="F128" s="149">
        <v>1230</v>
      </c>
      <c r="G128" s="2">
        <v>1540</v>
      </c>
      <c r="H128" s="2">
        <v>1850</v>
      </c>
      <c r="I128" s="149">
        <v>0</v>
      </c>
      <c r="J128" s="7"/>
    </row>
    <row r="129" spans="1:10" s="6" customFormat="1" x14ac:dyDescent="0.2">
      <c r="A129" s="28">
        <v>4</v>
      </c>
      <c r="B129" s="25">
        <v>15</v>
      </c>
      <c r="C129" s="1">
        <v>250</v>
      </c>
      <c r="D129" s="1">
        <v>500</v>
      </c>
      <c r="E129" s="149">
        <v>750</v>
      </c>
      <c r="F129" s="149">
        <v>1000</v>
      </c>
      <c r="G129" s="2">
        <v>1250</v>
      </c>
      <c r="H129" s="2">
        <v>1500</v>
      </c>
      <c r="I129" s="149">
        <v>0</v>
      </c>
      <c r="J129" s="7"/>
    </row>
    <row r="130" spans="1:10" s="6" customFormat="1" x14ac:dyDescent="0.2">
      <c r="A130" s="28">
        <v>5</v>
      </c>
      <c r="B130" s="25">
        <v>20</v>
      </c>
      <c r="C130" s="1">
        <v>185</v>
      </c>
      <c r="D130" s="1">
        <v>370</v>
      </c>
      <c r="E130" s="149">
        <v>550</v>
      </c>
      <c r="F130" s="149">
        <v>735</v>
      </c>
      <c r="G130" s="2">
        <v>915</v>
      </c>
      <c r="H130" s="2">
        <v>1100</v>
      </c>
      <c r="I130" s="149">
        <v>0</v>
      </c>
      <c r="J130" s="7"/>
    </row>
    <row r="131" spans="1:10" s="6" customFormat="1" x14ac:dyDescent="0.2">
      <c r="A131" s="28">
        <v>6</v>
      </c>
      <c r="B131" s="25">
        <v>25</v>
      </c>
      <c r="C131" s="33">
        <v>125</v>
      </c>
      <c r="D131" s="33">
        <v>250</v>
      </c>
      <c r="E131" s="150">
        <v>375</v>
      </c>
      <c r="F131" s="150">
        <v>500</v>
      </c>
      <c r="G131" s="34">
        <v>625</v>
      </c>
      <c r="H131" s="34">
        <v>750</v>
      </c>
      <c r="I131" s="150">
        <v>0</v>
      </c>
      <c r="J131" s="7"/>
    </row>
    <row r="132" spans="1:10" s="6" customFormat="1" x14ac:dyDescent="0.2">
      <c r="A132" s="28"/>
      <c r="B132" s="24"/>
      <c r="C132" s="603" t="s">
        <v>444</v>
      </c>
      <c r="D132" s="603"/>
      <c r="E132" s="603"/>
      <c r="F132" s="603"/>
      <c r="G132" s="603"/>
      <c r="H132" s="603"/>
      <c r="I132" s="603"/>
      <c r="J132" s="7"/>
    </row>
    <row r="133" spans="1:10" s="6" customFormat="1" x14ac:dyDescent="0.2">
      <c r="A133" s="28"/>
      <c r="B133" s="24"/>
      <c r="J133" s="7"/>
    </row>
    <row r="134" spans="1:10" s="6" customFormat="1" x14ac:dyDescent="0.2">
      <c r="A134" s="28"/>
      <c r="B134" s="24"/>
      <c r="J134" s="7"/>
    </row>
    <row r="135" spans="1:10" s="6" customFormat="1" x14ac:dyDescent="0.2">
      <c r="A135" s="28"/>
      <c r="C135" s="146" t="s">
        <v>512</v>
      </c>
      <c r="D135" s="228"/>
      <c r="E135" s="228"/>
      <c r="F135" s="228"/>
      <c r="G135" s="229"/>
      <c r="H135" s="229"/>
      <c r="I135" s="147"/>
      <c r="J135" s="7"/>
    </row>
    <row r="136" spans="1:10" s="6" customFormat="1" x14ac:dyDescent="0.2">
      <c r="A136" s="28" t="s">
        <v>473</v>
      </c>
      <c r="C136" s="213">
        <v>1</v>
      </c>
      <c r="D136" s="213">
        <v>2</v>
      </c>
      <c r="E136" s="213">
        <v>3</v>
      </c>
      <c r="F136" s="230">
        <v>0</v>
      </c>
      <c r="G136" s="202"/>
      <c r="H136" s="202"/>
      <c r="J136" s="7"/>
    </row>
    <row r="137" spans="1:10" s="6" customFormat="1" x14ac:dyDescent="0.2">
      <c r="A137" s="205"/>
      <c r="B137" s="25" t="s">
        <v>437</v>
      </c>
      <c r="C137" s="200" t="s">
        <v>66</v>
      </c>
      <c r="D137" s="49" t="s">
        <v>68</v>
      </c>
      <c r="E137" s="201" t="s">
        <v>438</v>
      </c>
      <c r="F137" s="149" t="s">
        <v>470</v>
      </c>
      <c r="G137" s="203"/>
      <c r="H137" s="22"/>
      <c r="J137" s="7"/>
    </row>
    <row r="138" spans="1:10" s="6" customFormat="1" x14ac:dyDescent="0.2">
      <c r="A138" s="28">
        <v>1</v>
      </c>
      <c r="B138" s="25">
        <v>1</v>
      </c>
      <c r="C138" s="31">
        <v>1243</v>
      </c>
      <c r="D138" s="31">
        <v>2063</v>
      </c>
      <c r="E138" s="126">
        <v>2883</v>
      </c>
      <c r="F138" s="149">
        <v>0</v>
      </c>
      <c r="J138" s="7"/>
    </row>
    <row r="139" spans="1:10" s="6" customFormat="1" x14ac:dyDescent="0.2">
      <c r="A139" s="28">
        <v>2</v>
      </c>
      <c r="B139" s="25">
        <v>5</v>
      </c>
      <c r="C139" s="1">
        <v>857</v>
      </c>
      <c r="D139" s="1">
        <v>1423</v>
      </c>
      <c r="E139" s="149">
        <v>1988</v>
      </c>
      <c r="F139" s="192">
        <v>0</v>
      </c>
      <c r="J139" s="7"/>
    </row>
    <row r="140" spans="1:10" s="6" customFormat="1" x14ac:dyDescent="0.2">
      <c r="A140" s="28">
        <v>3</v>
      </c>
      <c r="B140" s="25">
        <v>10</v>
      </c>
      <c r="C140" s="1">
        <v>643</v>
      </c>
      <c r="D140" s="1">
        <v>1067</v>
      </c>
      <c r="E140" s="149">
        <v>1491</v>
      </c>
      <c r="F140" s="149">
        <v>0</v>
      </c>
      <c r="J140" s="7"/>
    </row>
    <row r="141" spans="1:10" s="6" customFormat="1" x14ac:dyDescent="0.2">
      <c r="A141" s="28">
        <v>4</v>
      </c>
      <c r="B141" s="25">
        <v>15</v>
      </c>
      <c r="C141" s="1">
        <v>428</v>
      </c>
      <c r="D141" s="1">
        <v>712</v>
      </c>
      <c r="E141" s="149">
        <v>994</v>
      </c>
      <c r="F141" s="149">
        <v>0</v>
      </c>
      <c r="J141" s="7"/>
    </row>
    <row r="142" spans="1:10" s="6" customFormat="1" x14ac:dyDescent="0.2">
      <c r="A142" s="28">
        <v>5</v>
      </c>
      <c r="B142" s="25">
        <v>20</v>
      </c>
      <c r="C142" s="1">
        <v>321</v>
      </c>
      <c r="D142" s="1">
        <v>534</v>
      </c>
      <c r="E142" s="149">
        <v>746</v>
      </c>
      <c r="F142" s="149">
        <v>0</v>
      </c>
      <c r="J142" s="7"/>
    </row>
    <row r="143" spans="1:10" s="6" customFormat="1" x14ac:dyDescent="0.2">
      <c r="A143" s="28">
        <v>6</v>
      </c>
      <c r="B143" s="25">
        <v>25</v>
      </c>
      <c r="C143" s="33">
        <v>214</v>
      </c>
      <c r="D143" s="33">
        <v>356</v>
      </c>
      <c r="E143" s="150">
        <v>497</v>
      </c>
      <c r="F143" s="150">
        <v>0</v>
      </c>
      <c r="J143" s="7"/>
    </row>
    <row r="144" spans="1:10" s="6" customFormat="1" ht="13.5" thickBot="1" x14ac:dyDescent="0.25">
      <c r="A144" s="29"/>
      <c r="B144" s="206"/>
      <c r="C144" s="9"/>
      <c r="D144" s="9"/>
      <c r="E144" s="9"/>
      <c r="F144" s="9"/>
      <c r="G144" s="9"/>
      <c r="H144" s="9"/>
      <c r="I144" s="9"/>
      <c r="J144" s="10"/>
    </row>
    <row r="145" spans="1:24" s="6" customFormat="1" ht="13.5" thickBot="1" x14ac:dyDescent="0.25"/>
    <row r="146" spans="1:24" s="6" customFormat="1" x14ac:dyDescent="0.2">
      <c r="A146" s="27"/>
      <c r="B146" s="4"/>
      <c r="C146" s="4"/>
      <c r="D146" s="4"/>
      <c r="E146" s="4"/>
      <c r="F146" s="4"/>
      <c r="G146" s="4"/>
      <c r="H146" s="4"/>
      <c r="I146" s="4"/>
      <c r="J146" s="4"/>
      <c r="K146" s="5"/>
    </row>
    <row r="147" spans="1:24" s="6" customFormat="1" x14ac:dyDescent="0.2">
      <c r="A147" s="28"/>
      <c r="C147" s="631" t="s">
        <v>599</v>
      </c>
      <c r="D147" s="577"/>
      <c r="E147" s="577"/>
      <c r="F147" s="577"/>
      <c r="G147" s="577"/>
      <c r="H147" s="577"/>
      <c r="I147" s="577"/>
      <c r="J147" s="577"/>
      <c r="K147" s="632"/>
    </row>
    <row r="148" spans="1:24" s="6" customFormat="1" x14ac:dyDescent="0.2">
      <c r="A148" s="327" t="s">
        <v>600</v>
      </c>
      <c r="C148" s="303">
        <v>1</v>
      </c>
      <c r="D148" s="303">
        <v>2</v>
      </c>
      <c r="E148" s="303">
        <v>3</v>
      </c>
      <c r="F148" s="303">
        <v>4</v>
      </c>
      <c r="G148" s="303">
        <v>5</v>
      </c>
      <c r="H148" s="303">
        <v>6</v>
      </c>
      <c r="I148" s="303">
        <v>7</v>
      </c>
      <c r="J148" s="303">
        <v>8</v>
      </c>
      <c r="K148" s="328">
        <v>0</v>
      </c>
    </row>
    <row r="149" spans="1:24" s="6" customFormat="1" x14ac:dyDescent="0.2">
      <c r="A149" s="28"/>
      <c r="C149" s="304" t="s">
        <v>475</v>
      </c>
      <c r="D149" s="303" t="s">
        <v>55</v>
      </c>
      <c r="E149" s="304" t="s">
        <v>63</v>
      </c>
      <c r="F149" s="303" t="s">
        <v>66</v>
      </c>
      <c r="G149" s="304" t="s">
        <v>67</v>
      </c>
      <c r="H149" s="303" t="s">
        <v>68</v>
      </c>
      <c r="I149" s="304" t="s">
        <v>601</v>
      </c>
      <c r="J149" s="303" t="s">
        <v>438</v>
      </c>
      <c r="K149" s="329" t="s">
        <v>470</v>
      </c>
    </row>
    <row r="150" spans="1:24" s="6" customFormat="1" x14ac:dyDescent="0.2">
      <c r="A150" s="28" t="s">
        <v>448</v>
      </c>
      <c r="B150" s="6">
        <v>1</v>
      </c>
      <c r="C150" s="6">
        <v>39</v>
      </c>
      <c r="D150" s="31">
        <v>58</v>
      </c>
      <c r="E150" s="31">
        <v>79</v>
      </c>
      <c r="F150" s="31">
        <v>100</v>
      </c>
      <c r="G150" s="31">
        <v>121</v>
      </c>
      <c r="H150" s="31">
        <v>143</v>
      </c>
      <c r="I150" s="31">
        <v>163</v>
      </c>
      <c r="J150" s="126">
        <v>186</v>
      </c>
      <c r="K150" s="7">
        <v>0</v>
      </c>
    </row>
    <row r="151" spans="1:24" s="6" customFormat="1" x14ac:dyDescent="0.2">
      <c r="A151" s="28" t="s">
        <v>436</v>
      </c>
      <c r="B151" s="6">
        <v>2</v>
      </c>
      <c r="C151" s="6">
        <v>1.5</v>
      </c>
      <c r="D151" s="1">
        <v>2.1</v>
      </c>
      <c r="E151" s="1">
        <v>3</v>
      </c>
      <c r="F151" s="1">
        <v>5.2</v>
      </c>
      <c r="G151" s="1">
        <v>7.7</v>
      </c>
      <c r="H151" s="1">
        <v>11</v>
      </c>
      <c r="I151" s="1">
        <v>15</v>
      </c>
      <c r="J151" s="149">
        <v>22</v>
      </c>
      <c r="K151" s="7">
        <v>0</v>
      </c>
    </row>
    <row r="152" spans="1:24" s="6" customFormat="1" x14ac:dyDescent="0.2">
      <c r="A152" s="28" t="s">
        <v>602</v>
      </c>
      <c r="B152" s="6">
        <v>3</v>
      </c>
      <c r="C152" s="23">
        <v>1.6</v>
      </c>
      <c r="D152" s="33">
        <v>2.5</v>
      </c>
      <c r="E152" s="33">
        <v>3.9</v>
      </c>
      <c r="F152" s="33">
        <v>5.8</v>
      </c>
      <c r="G152" s="33">
        <v>8.5</v>
      </c>
      <c r="H152" s="33">
        <v>12</v>
      </c>
      <c r="I152" s="33">
        <v>15</v>
      </c>
      <c r="J152" s="150">
        <v>22</v>
      </c>
      <c r="K152" s="330">
        <v>0</v>
      </c>
    </row>
    <row r="153" spans="1:24" s="6" customFormat="1" x14ac:dyDescent="0.2">
      <c r="A153" s="28"/>
      <c r="K153" s="7"/>
    </row>
    <row r="154" spans="1:24" s="6" customFormat="1" ht="13.5" thickBot="1" x14ac:dyDescent="0.25">
      <c r="A154" s="29"/>
      <c r="B154" s="9"/>
      <c r="C154" s="9"/>
      <c r="D154" s="9"/>
      <c r="E154" s="9"/>
      <c r="F154" s="9"/>
      <c r="G154" s="9"/>
      <c r="H154" s="9"/>
      <c r="I154" s="9"/>
      <c r="J154" s="9"/>
      <c r="K154" s="10"/>
    </row>
    <row r="155" spans="1:24" s="6" customFormat="1" x14ac:dyDescent="0.2"/>
    <row r="156" spans="1:24" s="6" customFormat="1" x14ac:dyDescent="0.2"/>
    <row r="157" spans="1:24" s="6" customFormat="1" ht="13.5" thickBot="1" x14ac:dyDescent="0.25"/>
    <row r="158" spans="1:24" s="6" customFormat="1" x14ac:dyDescent="0.2">
      <c r="A158" s="393" t="s">
        <v>633</v>
      </c>
      <c r="B158" s="11" t="s">
        <v>58</v>
      </c>
    </row>
    <row r="159" spans="1:24" s="6" customFormat="1" ht="15" thickBot="1" x14ac:dyDescent="0.25">
      <c r="A159" t="s">
        <v>439</v>
      </c>
      <c r="B159" s="20" t="s">
        <v>635</v>
      </c>
      <c r="C159" s="625" t="s">
        <v>644</v>
      </c>
      <c r="D159" s="626"/>
      <c r="E159" s="626"/>
      <c r="F159" s="626"/>
      <c r="G159" s="626"/>
      <c r="H159" s="626"/>
      <c r="I159" s="626"/>
      <c r="J159" s="626"/>
      <c r="K159" s="626"/>
      <c r="L159" s="626"/>
      <c r="M159" s="626"/>
      <c r="N159" s="626"/>
    </row>
    <row r="160" spans="1:24" s="6" customFormat="1" ht="13.5" thickBot="1" x14ac:dyDescent="0.25">
      <c r="A160" t="s">
        <v>441</v>
      </c>
      <c r="B160" s="389" t="s">
        <v>428</v>
      </c>
      <c r="C160" s="417" t="s">
        <v>653</v>
      </c>
      <c r="D160" s="414" t="s">
        <v>449</v>
      </c>
      <c r="E160" s="416" t="s">
        <v>450</v>
      </c>
      <c r="F160" s="408" t="s">
        <v>451</v>
      </c>
      <c r="G160" s="417" t="s">
        <v>654</v>
      </c>
      <c r="H160" s="415" t="s">
        <v>452</v>
      </c>
      <c r="I160" s="424" t="s">
        <v>453</v>
      </c>
      <c r="J160" s="408" t="s">
        <v>454</v>
      </c>
      <c r="K160" s="417" t="s">
        <v>655</v>
      </c>
      <c r="L160" s="414" t="s">
        <v>640</v>
      </c>
      <c r="M160" s="416" t="s">
        <v>641</v>
      </c>
      <c r="N160" s="408" t="s">
        <v>658</v>
      </c>
      <c r="O160" s="417" t="s">
        <v>656</v>
      </c>
      <c r="P160" s="414" t="s">
        <v>642</v>
      </c>
      <c r="Q160" s="416" t="s">
        <v>643</v>
      </c>
      <c r="R160" s="408" t="s">
        <v>657</v>
      </c>
      <c r="S160" s="398"/>
      <c r="X160" s="22"/>
    </row>
    <row r="161" spans="1:19" s="6" customFormat="1" ht="13.5" thickBot="1" x14ac:dyDescent="0.25">
      <c r="A161" s="30" t="s">
        <v>429</v>
      </c>
      <c r="B161" s="13" t="s">
        <v>634</v>
      </c>
      <c r="C161" s="418">
        <v>0</v>
      </c>
      <c r="D161" s="15">
        <v>10</v>
      </c>
      <c r="E161" s="14">
        <v>50</v>
      </c>
      <c r="F161" s="423">
        <v>100</v>
      </c>
      <c r="G161" s="422">
        <v>0</v>
      </c>
      <c r="H161" s="15">
        <v>10</v>
      </c>
      <c r="I161" s="14">
        <v>50</v>
      </c>
      <c r="J161" s="423">
        <v>100</v>
      </c>
      <c r="K161" s="418">
        <v>0</v>
      </c>
      <c r="L161" s="15">
        <v>10</v>
      </c>
      <c r="M161" s="14">
        <v>50</v>
      </c>
      <c r="N161" s="423">
        <v>100</v>
      </c>
      <c r="O161" s="418">
        <v>0</v>
      </c>
      <c r="P161" s="15">
        <v>10</v>
      </c>
      <c r="Q161" s="14">
        <v>50</v>
      </c>
      <c r="R161" s="423">
        <v>100</v>
      </c>
      <c r="S161" s="349"/>
    </row>
    <row r="162" spans="1:19" s="6" customFormat="1" x14ac:dyDescent="0.2">
      <c r="A162">
        <v>1</v>
      </c>
      <c r="B162" s="17">
        <v>10</v>
      </c>
      <c r="C162" s="419">
        <f>D162+(((C$161-D$161)/(E$161-D$161))*(E162-D162))</f>
        <v>22.599999999999998</v>
      </c>
      <c r="D162" s="167">
        <v>27.4</v>
      </c>
      <c r="E162" s="426">
        <v>46.6</v>
      </c>
      <c r="F162" s="427">
        <f>D162+(((F$161-D$161)/(E$161-D$161))*(E162-D162))</f>
        <v>70.599999999999994</v>
      </c>
      <c r="G162" s="419">
        <f>H162+(((G$161-H$161)/(I$161-H$161))*(I162-H162))</f>
        <v>32.824999999999996</v>
      </c>
      <c r="H162" s="167">
        <v>39.799999999999997</v>
      </c>
      <c r="I162" s="426">
        <v>67.7</v>
      </c>
      <c r="J162" s="427">
        <f>H162+(((J$161-H$161)/(I$161-H$161))*(I162-H162))</f>
        <v>102.57500000000002</v>
      </c>
      <c r="K162" s="419">
        <f>L162+(((K$161-L$161)/(M$161-L$161))*(M162-L162))</f>
        <v>91.1</v>
      </c>
      <c r="L162" s="167">
        <v>110.3</v>
      </c>
      <c r="M162" s="426">
        <v>187.1</v>
      </c>
      <c r="N162" s="427">
        <f>L162+(((N$161-L$161)/(M$161-L$161))*(M162-L162))</f>
        <v>283.09999999999997</v>
      </c>
      <c r="O162" s="419">
        <f>P162+(((O$161-P$161)/(Q$161-P$161))*(Q162-P162))</f>
        <v>299.82499999999999</v>
      </c>
      <c r="P162" s="167">
        <v>363.3</v>
      </c>
      <c r="Q162" s="426">
        <v>617.20000000000005</v>
      </c>
      <c r="R162" s="427">
        <f>P162+(((R$161-P$161)/(Q$161-P$161))*(Q162-P162))</f>
        <v>934.57500000000005</v>
      </c>
    </row>
    <row r="163" spans="1:19" s="6" customFormat="1" x14ac:dyDescent="0.2">
      <c r="A163">
        <v>2</v>
      </c>
      <c r="B163" s="18">
        <v>15</v>
      </c>
      <c r="C163" s="420">
        <f>D163+(((C$161-D$161)/(E$161-D$161))*(E163-D163))</f>
        <v>19.450000000000003</v>
      </c>
      <c r="D163" s="428">
        <v>23.6</v>
      </c>
      <c r="E163" s="75">
        <v>40.200000000000003</v>
      </c>
      <c r="F163" s="429">
        <f>D163+(((F$161-D$161)/(E$161-D$161))*(E163-D163))</f>
        <v>60.95</v>
      </c>
      <c r="G163" s="420">
        <f>H163+(((G$161-H$161)/(I$161-H$161))*(I163-H163))</f>
        <v>28.4</v>
      </c>
      <c r="H163" s="428">
        <v>34.4</v>
      </c>
      <c r="I163" s="430">
        <v>58.4</v>
      </c>
      <c r="J163" s="429">
        <f>H163+(((J$161-H$161)/(I$161-H$161))*(I163-H163))</f>
        <v>88.4</v>
      </c>
      <c r="K163" s="420">
        <f>L163+(((K$161-L$161)/(M$161-L$161))*(M163-L163))</f>
        <v>78.300000000000011</v>
      </c>
      <c r="L163" s="428">
        <v>94.9</v>
      </c>
      <c r="M163" s="75">
        <v>161.30000000000001</v>
      </c>
      <c r="N163" s="429">
        <f>L163+(((N$161-L$161)/(M$161-L$161))*(M163-L163))</f>
        <v>244.3</v>
      </c>
      <c r="O163" s="420">
        <f>P163+(((O$161-P$161)/(Q$161-P$161))*(Q163-P163))</f>
        <v>255.50000000000003</v>
      </c>
      <c r="P163" s="431">
        <v>309.60000000000002</v>
      </c>
      <c r="Q163" s="430">
        <v>526</v>
      </c>
      <c r="R163" s="429">
        <f>P163+(((R$161-P$161)/(Q$161-P$161))*(Q163-P163))</f>
        <v>796.5</v>
      </c>
      <c r="S163" s="12"/>
    </row>
    <row r="164" spans="1:19" s="6" customFormat="1" x14ac:dyDescent="0.2">
      <c r="A164">
        <v>3</v>
      </c>
      <c r="B164" s="18">
        <v>20</v>
      </c>
      <c r="C164" s="420">
        <f>D164+(((C$161-D$161)/(E$161-D$161))*(E164-D164))</f>
        <v>16.925000000000001</v>
      </c>
      <c r="D164" s="428">
        <v>20.5</v>
      </c>
      <c r="E164" s="75">
        <v>34.799999999999997</v>
      </c>
      <c r="F164" s="429">
        <f>D164+(((F$161-D$161)/(E$161-D$161))*(E164-D164))</f>
        <v>52.674999999999997</v>
      </c>
      <c r="G164" s="420">
        <f>H164+(((G$161-H$161)/(I$161-H$161))*(I164-H164))</f>
        <v>24.6</v>
      </c>
      <c r="H164" s="428">
        <v>29.8</v>
      </c>
      <c r="I164" s="430">
        <v>50.6</v>
      </c>
      <c r="J164" s="429">
        <f>H164+(((J$161-H$161)/(I$161-H$161))*(I164-H164))</f>
        <v>76.600000000000009</v>
      </c>
      <c r="K164" s="420">
        <f>L164+(((K$161-L$161)/(M$161-L$161))*(M164-L164))</f>
        <v>67.924999999999997</v>
      </c>
      <c r="L164" s="428">
        <v>82.3</v>
      </c>
      <c r="M164" s="75">
        <v>139.80000000000001</v>
      </c>
      <c r="N164" s="429">
        <f>L164+(((N$161-L$161)/(M$161-L$161))*(M164-L164))</f>
        <v>211.67500000000001</v>
      </c>
      <c r="O164" s="420">
        <f>P164+(((O$161-P$161)/(Q$161-P$161))*(Q164-P164))</f>
        <v>222.60000000000002</v>
      </c>
      <c r="P164" s="431">
        <v>269.8</v>
      </c>
      <c r="Q164" s="430">
        <v>458.6</v>
      </c>
      <c r="R164" s="429">
        <f>P164+(((R$161-P$161)/(Q$161-P$161))*(Q164-P164))</f>
        <v>694.6</v>
      </c>
      <c r="S164" s="12"/>
    </row>
    <row r="165" spans="1:19" s="6" customFormat="1" ht="13.5" thickBot="1" x14ac:dyDescent="0.25">
      <c r="A165">
        <v>4</v>
      </c>
      <c r="B165" s="19">
        <v>25</v>
      </c>
      <c r="C165" s="421">
        <f>D165+(((C$161-D$161)/(E$161-D$161))*(E165-D165))</f>
        <v>14.675000000000001</v>
      </c>
      <c r="D165" s="432">
        <v>17.8</v>
      </c>
      <c r="E165" s="425">
        <v>30.3</v>
      </c>
      <c r="F165" s="433">
        <f>D165+(((F$161-D$161)/(E$161-D$161))*(E165-D165))</f>
        <v>45.924999999999997</v>
      </c>
      <c r="G165" s="421">
        <f>H165+(((G$161-H$161)/(I$161-H$161))*(I165-H165))</f>
        <v>21.375</v>
      </c>
      <c r="H165" s="432">
        <v>25.9</v>
      </c>
      <c r="I165" s="425">
        <v>44</v>
      </c>
      <c r="J165" s="433">
        <f>H165+(((J$161-H$161)/(I$161-H$161))*(I165-H165))</f>
        <v>66.625</v>
      </c>
      <c r="K165" s="421">
        <f>L165+(((K$161-L$161)/(M$161-L$161))*(M165-L165))</f>
        <v>58.424999999999997</v>
      </c>
      <c r="L165" s="432">
        <v>71.099999999999994</v>
      </c>
      <c r="M165" s="425">
        <v>121.8</v>
      </c>
      <c r="N165" s="433">
        <f>L165+(((N$161-L$161)/(M$161-L$161))*(M165-L165))</f>
        <v>185.17500000000001</v>
      </c>
      <c r="O165" s="421">
        <f>P165+(((O$161-P$161)/(Q$161-P$161))*(Q165-P165))</f>
        <v>193.85</v>
      </c>
      <c r="P165" s="432">
        <v>234.9</v>
      </c>
      <c r="Q165" s="390">
        <v>399.1</v>
      </c>
      <c r="R165" s="433">
        <f>P165+(((R$161-P$161)/(Q$161-P$161))*(Q165-P165))</f>
        <v>604.35</v>
      </c>
    </row>
    <row r="166" spans="1:19" s="6" customFormat="1" ht="13.5" thickBot="1" x14ac:dyDescent="0.25">
      <c r="C166" s="561" t="s">
        <v>636</v>
      </c>
      <c r="D166" s="627"/>
      <c r="E166" s="627"/>
      <c r="F166" s="628"/>
      <c r="G166" s="561" t="s">
        <v>637</v>
      </c>
      <c r="H166" s="627"/>
      <c r="I166" s="627"/>
      <c r="J166" s="628"/>
      <c r="K166" s="561" t="s">
        <v>638</v>
      </c>
      <c r="L166" s="627"/>
      <c r="M166" s="627"/>
      <c r="N166" s="628"/>
      <c r="O166" s="561" t="s">
        <v>639</v>
      </c>
      <c r="P166" s="627"/>
      <c r="Q166" s="627"/>
      <c r="R166" s="628"/>
    </row>
    <row r="167" spans="1:19" s="6" customFormat="1" x14ac:dyDescent="0.2"/>
    <row r="168" spans="1:19" s="6" customFormat="1" x14ac:dyDescent="0.2"/>
    <row r="169" spans="1:19" s="6" customFormat="1" x14ac:dyDescent="0.2"/>
    <row r="170" spans="1:19" s="6" customFormat="1" x14ac:dyDescent="0.2"/>
    <row r="171" spans="1:19" s="6" customFormat="1" x14ac:dyDescent="0.2"/>
    <row r="172" spans="1:19" s="6" customFormat="1" x14ac:dyDescent="0.2"/>
    <row r="173" spans="1:19" s="6" customFormat="1" x14ac:dyDescent="0.2"/>
    <row r="174" spans="1:19" s="6" customFormat="1" x14ac:dyDescent="0.2"/>
    <row r="175" spans="1:19" s="6" customFormat="1" x14ac:dyDescent="0.2"/>
    <row r="176" spans="1:19"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pans="1:2" s="6" customFormat="1" x14ac:dyDescent="0.2"/>
    <row r="242" spans="1:2" s="6" customFormat="1" x14ac:dyDescent="0.2"/>
    <row r="243" spans="1:2" s="6" customFormat="1" x14ac:dyDescent="0.2"/>
    <row r="244" spans="1:2" s="6" customFormat="1" x14ac:dyDescent="0.2"/>
    <row r="245" spans="1:2" s="6" customFormat="1" x14ac:dyDescent="0.2"/>
    <row r="246" spans="1:2" s="6" customFormat="1" x14ac:dyDescent="0.2"/>
    <row r="247" spans="1:2" s="6" customFormat="1" x14ac:dyDescent="0.2"/>
    <row r="248" spans="1:2" s="6" customFormat="1" x14ac:dyDescent="0.2">
      <c r="A248"/>
      <c r="B248"/>
    </row>
  </sheetData>
  <sheetProtection password="C74B" sheet="1" objects="1" scenarios="1" selectLockedCells="1" selectUnlockedCells="1"/>
  <mergeCells count="65">
    <mergeCell ref="C47:I47"/>
    <mergeCell ref="C57:I57"/>
    <mergeCell ref="C85:I85"/>
    <mergeCell ref="C67:J67"/>
    <mergeCell ref="C147:K147"/>
    <mergeCell ref="C105:J105"/>
    <mergeCell ref="C95:G95"/>
    <mergeCell ref="C123:I123"/>
    <mergeCell ref="C132:I132"/>
    <mergeCell ref="C43:E43"/>
    <mergeCell ref="F43:H43"/>
    <mergeCell ref="C34:H34"/>
    <mergeCell ref="AG2:AL2"/>
    <mergeCell ref="C2:H2"/>
    <mergeCell ref="I2:N2"/>
    <mergeCell ref="O2:T2"/>
    <mergeCell ref="U2:Z2"/>
    <mergeCell ref="C1:AR1"/>
    <mergeCell ref="AS1:CH1"/>
    <mergeCell ref="AS2:AX2"/>
    <mergeCell ref="AY2:BD2"/>
    <mergeCell ref="BE2:BJ2"/>
    <mergeCell ref="BK2:BP2"/>
    <mergeCell ref="BQ2:BV2"/>
    <mergeCell ref="BW2:CB2"/>
    <mergeCell ref="CC2:CH2"/>
    <mergeCell ref="AA2:AF2"/>
    <mergeCell ref="AM2:AR2"/>
    <mergeCell ref="CI1:DX1"/>
    <mergeCell ref="CI2:CN2"/>
    <mergeCell ref="CO2:CT2"/>
    <mergeCell ref="CU2:CZ2"/>
    <mergeCell ref="DA2:DF2"/>
    <mergeCell ref="DG2:DL2"/>
    <mergeCell ref="DM2:DR2"/>
    <mergeCell ref="DS2:DX2"/>
    <mergeCell ref="DY1:FN1"/>
    <mergeCell ref="DY2:ED2"/>
    <mergeCell ref="EE2:EJ2"/>
    <mergeCell ref="EK2:EP2"/>
    <mergeCell ref="EQ2:EV2"/>
    <mergeCell ref="EW2:FB2"/>
    <mergeCell ref="FC2:FH2"/>
    <mergeCell ref="FI2:FN2"/>
    <mergeCell ref="FO1:HD1"/>
    <mergeCell ref="FO2:FT2"/>
    <mergeCell ref="FU2:FZ2"/>
    <mergeCell ref="GA2:GF2"/>
    <mergeCell ref="GG2:GL2"/>
    <mergeCell ref="GM2:GR2"/>
    <mergeCell ref="GS2:GX2"/>
    <mergeCell ref="GY2:HD2"/>
    <mergeCell ref="HE1:IT1"/>
    <mergeCell ref="HE2:HJ2"/>
    <mergeCell ref="HK2:HP2"/>
    <mergeCell ref="HQ2:HV2"/>
    <mergeCell ref="HW2:IB2"/>
    <mergeCell ref="IC2:IH2"/>
    <mergeCell ref="II2:IN2"/>
    <mergeCell ref="IO2:IT2"/>
    <mergeCell ref="C159:N159"/>
    <mergeCell ref="C166:F166"/>
    <mergeCell ref="G166:J166"/>
    <mergeCell ref="K166:N166"/>
    <mergeCell ref="O166:R166"/>
  </mergeCells>
  <phoneticPr fontId="0" type="noConversion"/>
  <pageMargins left="0.75" right="0.75" top="1" bottom="1" header="0.5" footer="0.5"/>
  <pageSetup orientation="portrait" r:id="rId1"/>
  <headerFooter alignWithMargins="0"/>
  <ignoredErrors>
    <ignoredError sqref="C4:IT4"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73</vt:i4>
      </vt:variant>
    </vt:vector>
  </HeadingPairs>
  <TitlesOfParts>
    <vt:vector size="77" baseType="lpstr">
      <vt:lpstr>Instructions</vt:lpstr>
      <vt:lpstr>CT Worksheet</vt:lpstr>
      <vt:lpstr>Calculations</vt:lpstr>
      <vt:lpstr>CT Tables</vt:lpstr>
      <vt:lpstr>Categories</vt:lpstr>
      <vt:lpstr>ChloramineTableG</vt:lpstr>
      <vt:lpstr>ChloramineTableV</vt:lpstr>
      <vt:lpstr>CL2Category</vt:lpstr>
      <vt:lpstr>ClOcTable</vt:lpstr>
      <vt:lpstr>ClOgTable</vt:lpstr>
      <vt:lpstr>ClOvTable</vt:lpstr>
      <vt:lpstr>CTca1</vt:lpstr>
      <vt:lpstr>CTca2</vt:lpstr>
      <vt:lpstr>CTca3</vt:lpstr>
      <vt:lpstr>CTca4</vt:lpstr>
      <vt:lpstr>CTca5</vt:lpstr>
      <vt:lpstr>CTga1</vt:lpstr>
      <vt:lpstr>CTga2</vt:lpstr>
      <vt:lpstr>CTga3</vt:lpstr>
      <vt:lpstr>CTga4</vt:lpstr>
      <vt:lpstr>CTga5</vt:lpstr>
      <vt:lpstr>CTma1</vt:lpstr>
      <vt:lpstr>CTma2</vt:lpstr>
      <vt:lpstr>CTma3</vt:lpstr>
      <vt:lpstr>CTma4</vt:lpstr>
      <vt:lpstr>CTma5</vt:lpstr>
      <vt:lpstr>CTtable</vt:lpstr>
      <vt:lpstr>CTva1</vt:lpstr>
      <vt:lpstr>CTva2</vt:lpstr>
      <vt:lpstr>CTva3</vt:lpstr>
      <vt:lpstr>CTva4</vt:lpstr>
      <vt:lpstr>CTva5</vt:lpstr>
      <vt:lpstr>DR_1</vt:lpstr>
      <vt:lpstr>DR_2</vt:lpstr>
      <vt:lpstr>DR_3</vt:lpstr>
      <vt:lpstr>DR_4</vt:lpstr>
      <vt:lpstr>DR_5</vt:lpstr>
      <vt:lpstr>HSflow</vt:lpstr>
      <vt:lpstr>logCryptoR</vt:lpstr>
      <vt:lpstr>logGiardiaR</vt:lpstr>
      <vt:lpstr>logIfraction</vt:lpstr>
      <vt:lpstr>logVirusR</vt:lpstr>
      <vt:lpstr>MicrocystinR</vt:lpstr>
      <vt:lpstr>MicrocystinTable</vt:lpstr>
      <vt:lpstr>O3cTable</vt:lpstr>
      <vt:lpstr>O3gTable</vt:lpstr>
      <vt:lpstr>O3vTable</vt:lpstr>
      <vt:lpstr>ph_1</vt:lpstr>
      <vt:lpstr>pH_2</vt:lpstr>
      <vt:lpstr>pH_3</vt:lpstr>
      <vt:lpstr>pH_4</vt:lpstr>
      <vt:lpstr>pH_5</vt:lpstr>
      <vt:lpstr>pH1fraction</vt:lpstr>
      <vt:lpstr>pH2fraction</vt:lpstr>
      <vt:lpstr>pH3fraction</vt:lpstr>
      <vt:lpstr>pH4fraction</vt:lpstr>
      <vt:lpstr>pH5fraction</vt:lpstr>
      <vt:lpstr>plantflow</vt:lpstr>
      <vt:lpstr>'CT Worksheet'!Print_Area</vt:lpstr>
      <vt:lpstr>Instructions!Print_Area</vt:lpstr>
      <vt:lpstr>Temp1</vt:lpstr>
      <vt:lpstr>Temp1fraction</vt:lpstr>
      <vt:lpstr>Temp2</vt:lpstr>
      <vt:lpstr>Temp2fraction</vt:lpstr>
      <vt:lpstr>Temp3</vt:lpstr>
      <vt:lpstr>Temp3fraction</vt:lpstr>
      <vt:lpstr>Temp4</vt:lpstr>
      <vt:lpstr>Temp4fraction</vt:lpstr>
      <vt:lpstr>Temp5</vt:lpstr>
      <vt:lpstr>Temp5fraction</vt:lpstr>
      <vt:lpstr>Time1</vt:lpstr>
      <vt:lpstr>Time2</vt:lpstr>
      <vt:lpstr>Time3</vt:lpstr>
      <vt:lpstr>Time4</vt:lpstr>
      <vt:lpstr>Time5</vt:lpstr>
      <vt:lpstr>UVtable</vt:lpstr>
      <vt:lpstr>VirusCTtable</vt:lpstr>
    </vt:vector>
  </TitlesOfParts>
  <Company>ADH - Engineering Section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CT Calculation</dc:title>
  <dc:creator>Lance Jones</dc:creator>
  <cp:lastModifiedBy>Lance Jones</cp:lastModifiedBy>
  <cp:lastPrinted>2009-08-27T14:22:25Z</cp:lastPrinted>
  <dcterms:created xsi:type="dcterms:W3CDTF">2009-06-24T14:06:27Z</dcterms:created>
  <dcterms:modified xsi:type="dcterms:W3CDTF">2018-04-17T12:40:15Z</dcterms:modified>
</cp:coreProperties>
</file>